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uraltova\Dokumenty\dát na internet\web\OIRM\"/>
    </mc:Choice>
  </mc:AlternateContent>
  <bookViews>
    <workbookView xWindow="28680" yWindow="-120" windowWidth="38640" windowHeight="21120" activeTab="2"/>
  </bookViews>
  <sheets>
    <sheet name="Stavba" sheetId="1" r:id="rId1"/>
    <sheet name="VzorPolozky" sheetId="10" state="hidden" r:id="rId2"/>
    <sheet name="1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'1 1 Pol'!$A$1:$X$50</definedName>
    <definedName name="_xlnm.Print_Area" localSheetId="0">Stavba!$A$1:$J$55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Z22" i="12" l="1"/>
  <c r="AZ18" i="12"/>
  <c r="G9" i="12"/>
  <c r="M9" i="12" s="1"/>
  <c r="I9" i="12"/>
  <c r="K9" i="12"/>
  <c r="O9" i="12"/>
  <c r="Q9" i="12"/>
  <c r="U9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4" i="12"/>
  <c r="M14" i="12" s="1"/>
  <c r="I14" i="12"/>
  <c r="K14" i="12"/>
  <c r="O14" i="12"/>
  <c r="Q14" i="12"/>
  <c r="U14" i="12"/>
  <c r="G16" i="12"/>
  <c r="I50" i="1" s="1"/>
  <c r="G17" i="12"/>
  <c r="M17" i="12" s="1"/>
  <c r="I17" i="12"/>
  <c r="K17" i="12"/>
  <c r="O17" i="12"/>
  <c r="Q17" i="12"/>
  <c r="U17" i="12"/>
  <c r="G21" i="12"/>
  <c r="I21" i="12"/>
  <c r="K21" i="12"/>
  <c r="K16" i="12" s="1"/>
  <c r="M21" i="12"/>
  <c r="M16" i="12" s="1"/>
  <c r="O21" i="12"/>
  <c r="Q21" i="12"/>
  <c r="U21" i="12"/>
  <c r="G26" i="12"/>
  <c r="G25" i="12" s="1"/>
  <c r="I51" i="1" s="1"/>
  <c r="I26" i="12"/>
  <c r="I25" i="12" s="1"/>
  <c r="K26" i="12"/>
  <c r="K25" i="12" s="1"/>
  <c r="O26" i="12"/>
  <c r="O25" i="12" s="1"/>
  <c r="Q26" i="12"/>
  <c r="Q25" i="12" s="1"/>
  <c r="U26" i="12"/>
  <c r="U25" i="12" s="1"/>
  <c r="G28" i="12"/>
  <c r="M28" i="12" s="1"/>
  <c r="I28" i="12"/>
  <c r="K28" i="12"/>
  <c r="O28" i="12"/>
  <c r="Q28" i="12"/>
  <c r="U28" i="12"/>
  <c r="G30" i="12"/>
  <c r="M30" i="12" s="1"/>
  <c r="I30" i="12"/>
  <c r="K30" i="12"/>
  <c r="O30" i="12"/>
  <c r="Q30" i="12"/>
  <c r="U30" i="12"/>
  <c r="G32" i="12"/>
  <c r="M32" i="12" s="1"/>
  <c r="I32" i="12"/>
  <c r="K32" i="12"/>
  <c r="O32" i="12"/>
  <c r="Q32" i="12"/>
  <c r="U32" i="12"/>
  <c r="G34" i="12"/>
  <c r="I34" i="12"/>
  <c r="K34" i="12"/>
  <c r="M34" i="12"/>
  <c r="O34" i="12"/>
  <c r="Q34" i="12"/>
  <c r="U34" i="12"/>
  <c r="G36" i="12"/>
  <c r="M36" i="12" s="1"/>
  <c r="I36" i="12"/>
  <c r="K36" i="12"/>
  <c r="O36" i="12"/>
  <c r="Q36" i="12"/>
  <c r="U36" i="12"/>
  <c r="G40" i="12"/>
  <c r="M40" i="12" s="1"/>
  <c r="I40" i="12"/>
  <c r="K40" i="12"/>
  <c r="O40" i="12"/>
  <c r="Q40" i="12"/>
  <c r="U40" i="12"/>
  <c r="G41" i="12"/>
  <c r="M41" i="12" s="1"/>
  <c r="I41" i="12"/>
  <c r="K41" i="12"/>
  <c r="O41" i="12"/>
  <c r="Q41" i="12"/>
  <c r="U41" i="12"/>
  <c r="G42" i="12"/>
  <c r="I54" i="1" s="1"/>
  <c r="I20" i="1" s="1"/>
  <c r="G43" i="12"/>
  <c r="M43" i="12" s="1"/>
  <c r="I43" i="12"/>
  <c r="K43" i="12"/>
  <c r="O43" i="12"/>
  <c r="Q43" i="12"/>
  <c r="U43" i="12"/>
  <c r="G44" i="12"/>
  <c r="M44" i="12" s="1"/>
  <c r="I44" i="12"/>
  <c r="K44" i="12"/>
  <c r="O44" i="12"/>
  <c r="Q44" i="12"/>
  <c r="U44" i="12"/>
  <c r="AD46" i="12"/>
  <c r="F41" i="1" s="1"/>
  <c r="I18" i="1"/>
  <c r="I17" i="1"/>
  <c r="J28" i="1"/>
  <c r="J26" i="1"/>
  <c r="G38" i="1"/>
  <c r="F38" i="1"/>
  <c r="J23" i="1"/>
  <c r="J24" i="1"/>
  <c r="J25" i="1"/>
  <c r="J27" i="1"/>
  <c r="E24" i="1"/>
  <c r="E26" i="1"/>
  <c r="U39" i="12" l="1"/>
  <c r="Q39" i="12"/>
  <c r="I39" i="12"/>
  <c r="O39" i="12"/>
  <c r="K39" i="12"/>
  <c r="K42" i="12"/>
  <c r="U27" i="12"/>
  <c r="I16" i="12"/>
  <c r="O42" i="12"/>
  <c r="I42" i="12"/>
  <c r="Q42" i="12"/>
  <c r="F39" i="1"/>
  <c r="F42" i="1" s="1"/>
  <c r="G23" i="1" s="1"/>
  <c r="A23" i="1" s="1"/>
  <c r="K27" i="12"/>
  <c r="U16" i="12"/>
  <c r="F40" i="1"/>
  <c r="Q27" i="12"/>
  <c r="G39" i="12"/>
  <c r="I53" i="1" s="1"/>
  <c r="I19" i="1" s="1"/>
  <c r="I27" i="12"/>
  <c r="U8" i="12"/>
  <c r="M42" i="12"/>
  <c r="G27" i="12"/>
  <c r="I52" i="1" s="1"/>
  <c r="Q16" i="12"/>
  <c r="Q8" i="12"/>
  <c r="M39" i="12"/>
  <c r="O16" i="12"/>
  <c r="O8" i="12"/>
  <c r="M26" i="12"/>
  <c r="M25" i="12" s="1"/>
  <c r="K8" i="12"/>
  <c r="O27" i="12"/>
  <c r="U42" i="12"/>
  <c r="I8" i="12"/>
  <c r="M8" i="12"/>
  <c r="M27" i="12"/>
  <c r="AE46" i="12"/>
  <c r="G8" i="12"/>
  <c r="G39" i="1" l="1"/>
  <c r="G41" i="1"/>
  <c r="H41" i="1" s="1"/>
  <c r="I41" i="1" s="1"/>
  <c r="G40" i="1"/>
  <c r="H40" i="1"/>
  <c r="I40" i="1" s="1"/>
  <c r="I49" i="1"/>
  <c r="G46" i="12"/>
  <c r="A24" i="1"/>
  <c r="G24" i="1"/>
  <c r="I55" i="1" l="1"/>
  <c r="I16" i="1"/>
  <c r="I21" i="1" s="1"/>
  <c r="H39" i="1"/>
  <c r="H42" i="1" s="1"/>
  <c r="G42" i="1"/>
  <c r="I39" i="1"/>
  <c r="I42" i="1" s="1"/>
  <c r="J39" i="1" l="1"/>
  <c r="J42" i="1" s="1"/>
  <c r="J40" i="1"/>
  <c r="J41" i="1"/>
  <c r="J54" i="1"/>
  <c r="J50" i="1"/>
  <c r="J51" i="1"/>
  <c r="J52" i="1"/>
  <c r="J49" i="1"/>
  <c r="J53" i="1"/>
  <c r="G25" i="1"/>
  <c r="G28" i="1"/>
  <c r="A25" i="1" l="1"/>
  <c r="J55" i="1"/>
  <c r="G26" i="1" l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JS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<sst xmlns="http://schemas.openxmlformats.org/spreadsheetml/2006/main" count="306" uniqueCount="160">
  <si>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</si>
  <si>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</si>
  <si>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</si>
  <si>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</si>
  <si>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</si>
  <si>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</si>
  <si>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</si>
  <si>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</si>
  <si>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</si>
  <si>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</si>
  <si>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</si>
  <si>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</si>
  <si>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</si>
  <si>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</si>
  <si>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</si>
  <si>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</si>
  <si>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</si>
  <si>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</si>
  <si>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</si>
  <si>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</si>
  <si>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</si>
  <si>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</si>
  <si>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</si>
  <si>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</si>
  <si>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</si>
  <si>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</si>
  <si>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</si>
  <si>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</si>
  <si>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</si>
  <si>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</si>
  <si>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</si>
  <si>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</si>
  <si>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</si>
  <si>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</si>
  <si>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</si>
  <si>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</si>
  <si>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</si>
  <si>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</si>
  <si>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</si>
  <si>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</si>
  <si>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</si>
  <si>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</si>
  <si>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Propočet</t>
  </si>
  <si>
    <t>Demolice</t>
  </si>
  <si>
    <t>Objekt:</t>
  </si>
  <si>
    <t>Rozpočet:</t>
  </si>
  <si>
    <t>Jaroslav Shrbený</t>
  </si>
  <si>
    <t>Shrbený Jaroslav</t>
  </si>
  <si>
    <t>2026/03</t>
  </si>
  <si>
    <t>Stavba</t>
  </si>
  <si>
    <t>Celkem za stavbu</t>
  </si>
  <si>
    <t>CZK</t>
  </si>
  <si>
    <t>Rekapitulace dílů</t>
  </si>
  <si>
    <t>Typ dílu</t>
  </si>
  <si>
    <t>Zemní práce</t>
  </si>
  <si>
    <t>98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</si>
  <si>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</si>
  <si>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</si>
  <si>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</si>
  <si>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</si>
  <si>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</si>
  <si>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</si>
  <si>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</si>
  <si>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</si>
  <si>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</si>
  <si>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</si>
  <si>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</si>
  <si>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</si>
  <si>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</si>
  <si>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</si>
  <si>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</si>
  <si>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</si>
  <si>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</si>
  <si>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</si>
  <si>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</si>
  <si>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</si>
  <si>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</si>
  <si>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</si>
  <si>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</si>
  <si>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</si>
  <si>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</si>
  <si>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</si>
  <si>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</si>
  <si>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</si>
  <si>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</si>
  <si>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</si>
  <si>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</si>
  <si>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</si>
  <si>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</si>
  <si>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</si>
  <si>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174101101R00</t>
  </si>
  <si>
    <t>Zásyp jam, rýh, šachet se zhutněním</t>
  </si>
  <si>
    <t>m3</t>
  </si>
  <si>
    <t>RTS 25/ II</t>
  </si>
  <si>
    <t>Práce</t>
  </si>
  <si>
    <t>Běžná</t>
  </si>
  <si>
    <t>POL1_</t>
  </si>
  <si>
    <t>odhad : 300</t>
  </si>
  <si>
    <t>VV</t>
  </si>
  <si>
    <t>181050010RA0</t>
  </si>
  <si>
    <t>Terénní modelace</t>
  </si>
  <si>
    <t>m2</t>
  </si>
  <si>
    <t>Agregovaná položka</t>
  </si>
  <si>
    <t>POL2_</t>
  </si>
  <si>
    <t>59691001.AR</t>
  </si>
  <si>
    <t>Recyklát betonový 0/16</t>
  </si>
  <si>
    <t>t</t>
  </si>
  <si>
    <t>SPCM</t>
  </si>
  <si>
    <t>Specifikace</t>
  </si>
  <si>
    <t>POL3_</t>
  </si>
  <si>
    <t>150*1,8</t>
  </si>
  <si>
    <t>59691002.AR</t>
  </si>
  <si>
    <t>Recyklát betonový 16/32</t>
  </si>
  <si>
    <t>Odvoz do 15km</t>
  </si>
  <si>
    <t>POP</t>
  </si>
  <si>
    <t>981010020RAA</t>
  </si>
  <si>
    <t>Demolice budov z cihel postupným rozebráním podíl konstrukcí do 15 %</t>
  </si>
  <si>
    <t>V položce není kalkulován poplatek za skládku pro vybouranou suť. Tyto náklady se oceňují individuálně podle místních podmínek. Orientační hmotnost vybouraných konstrukcí je 0,250 t/m3 konstrukce.</t>
  </si>
  <si>
    <t>přístavek : 26*6,5*4,5</t>
  </si>
  <si>
    <t>981130010RAC</t>
  </si>
  <si>
    <t>Demolice hal z cihel postupným rozebráním podíl konstrukcí do 20 %</t>
  </si>
  <si>
    <t>V položce není kalkulován poplatek za skládku pro vybouranou suť. Tyto náklady se oceňují individuálně podle místních podmínek. Orientační hmotnost vybouraných konstrukcí je 0,350 t/m3 konstrukce.</t>
  </si>
  <si>
    <t>20,7*35,6*6,25</t>
  </si>
  <si>
    <t>998981123R00</t>
  </si>
  <si>
    <t>Přesun hmot demolice postup. rozebíráním v. do 21 m</t>
  </si>
  <si>
    <t>Přesun hmot</t>
  </si>
  <si>
    <t>POL7_</t>
  </si>
  <si>
    <t>979951111R00</t>
  </si>
  <si>
    <t>Výkup kovů - železný šrot tl. do 4 mm</t>
  </si>
  <si>
    <t>odhad : 75</t>
  </si>
  <si>
    <t>979951112R00</t>
  </si>
  <si>
    <t>Výkup kovů - železný šrot tl. nad 4 mm</t>
  </si>
  <si>
    <t>odhad : 65</t>
  </si>
  <si>
    <t>979951161R00</t>
  </si>
  <si>
    <t>Výkup kovů - zinek, plechy</t>
  </si>
  <si>
    <t>odhad : 4</t>
  </si>
  <si>
    <t>979990261R00</t>
  </si>
  <si>
    <t>Poplatek za uložení asfaltové směsi obsahující dehet 170301 (N)</t>
  </si>
  <si>
    <t>odhad : 12</t>
  </si>
  <si>
    <t>979990107R00</t>
  </si>
  <si>
    <t>Poplatek za uložení suti - směs betonu, cihel, dřeva, skupina odpadu 170904</t>
  </si>
  <si>
    <t>odhad : 760,5*0,25</t>
  </si>
  <si>
    <t>odhad : 4605,75*0,35</t>
  </si>
  <si>
    <t>00411 R</t>
  </si>
  <si>
    <t>Přípravné a průzkumné služby či práce</t>
  </si>
  <si>
    <t>Soubor</t>
  </si>
  <si>
    <t>Indiv</t>
  </si>
  <si>
    <t>VRN</t>
  </si>
  <si>
    <t>POL99_2</t>
  </si>
  <si>
    <t>005121 R</t>
  </si>
  <si>
    <t>Zařízení staveniště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</si>
  <si>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</si>
  <si>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</si>
  <si>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</si>
  <si>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</si>
  <si>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SUM</t>
  </si>
  <si>
    <t>END</t>
  </si>
  <si>
    <t>Celkem bez DPH</t>
  </si>
  <si>
    <t>Propočet demolice budovy bývalé mazutky, Čs. Armády 176, Příbram IV</t>
  </si>
  <si>
    <t>Propočet demolice budovy bývalé mazutky, Čs. armády 176, Příbram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</si>
</sst>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4" fontId="3" fillId="2" borderId="37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2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2" borderId="0" xfId="0" applyNumberFormat="1" applyFont="1" applyFill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" zoomScaleNormal="100" zoomScaleSheetLayoutView="75" workbookViewId="0">
      <selection activeCell="D6" sqref="D6:G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2" t="s">
        <v>4</v>
      </c>
      <c r="C1" s="193"/>
      <c r="D1" s="193"/>
      <c r="E1" s="193"/>
      <c r="F1" s="193"/>
      <c r="G1" s="193"/>
      <c r="H1" s="193"/>
      <c r="I1" s="193"/>
      <c r="J1" s="194"/>
    </row>
    <row r="2" spans="1:15" ht="36" customHeight="1" x14ac:dyDescent="0.2">
      <c r="A2" s="2"/>
      <c r="B2" s="77" t="s">
        <v>24</v>
      </c>
      <c r="C2" s="78"/>
      <c r="D2" s="79" t="s">
        <v>48</v>
      </c>
      <c r="E2" s="201" t="s">
        <v>158</v>
      </c>
      <c r="F2" s="202"/>
      <c r="G2" s="202"/>
      <c r="H2" s="202"/>
      <c r="I2" s="202"/>
      <c r="J2" s="203"/>
      <c r="O2" s="1"/>
    </row>
    <row r="3" spans="1:15" ht="27" customHeight="1" x14ac:dyDescent="0.2">
      <c r="A3" s="2"/>
      <c r="B3" s="80" t="s">
        <v>44</v>
      </c>
      <c r="C3" s="78"/>
      <c r="D3" s="81" t="s">
        <v>41</v>
      </c>
      <c r="E3" s="204" t="s">
        <v>43</v>
      </c>
      <c r="F3" s="205"/>
      <c r="G3" s="205"/>
      <c r="H3" s="205"/>
      <c r="I3" s="205"/>
      <c r="J3" s="206"/>
    </row>
    <row r="4" spans="1:15" ht="23.25" customHeight="1" x14ac:dyDescent="0.2">
      <c r="A4" s="76">
        <v>3533</v>
      </c>
      <c r="B4" s="82" t="s">
        <v>45</v>
      </c>
      <c r="C4" s="83"/>
      <c r="D4" s="84" t="s">
        <v>41</v>
      </c>
      <c r="E4" s="214" t="s">
        <v>42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/>
      <c r="E5" s="220"/>
      <c r="F5" s="220"/>
      <c r="G5" s="220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1"/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8"/>
      <c r="E11" s="208"/>
      <c r="F11" s="208"/>
      <c r="G11" s="208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46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7"/>
      <c r="F15" s="207"/>
      <c r="G15" s="209"/>
      <c r="H15" s="209"/>
      <c r="I15" s="209" t="s">
        <v>31</v>
      </c>
      <c r="J15" s="210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198"/>
      <c r="F16" s="199"/>
      <c r="G16" s="198"/>
      <c r="H16" s="199"/>
      <c r="I16" s="198">
        <f>SUMIF(F49:F54,A16,I49:I54)+SUMIF(F49:F54,"PSU",I49:I54)</f>
        <v>9699702.9800000004</v>
      </c>
      <c r="J16" s="200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198"/>
      <c r="F17" s="199"/>
      <c r="G17" s="198"/>
      <c r="H17" s="199"/>
      <c r="I17" s="198">
        <f>SUMIF(F49:F54,A17,I49:I54)</f>
        <v>0</v>
      </c>
      <c r="J17" s="200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198"/>
      <c r="F18" s="199"/>
      <c r="G18" s="198"/>
      <c r="H18" s="199"/>
      <c r="I18" s="198">
        <f>SUMIF(F49:F54,A18,I49:I54)</f>
        <v>0</v>
      </c>
      <c r="J18" s="200"/>
    </row>
    <row r="19" spans="1:10" ht="23.25" customHeight="1" x14ac:dyDescent="0.2">
      <c r="A19" s="140" t="s">
        <v>61</v>
      </c>
      <c r="B19" s="38" t="s">
        <v>29</v>
      </c>
      <c r="C19" s="62"/>
      <c r="D19" s="63"/>
      <c r="E19" s="198"/>
      <c r="F19" s="199"/>
      <c r="G19" s="198"/>
      <c r="H19" s="199"/>
      <c r="I19" s="198">
        <f>SUMIF(F49:F54,A19,I49:I54)</f>
        <v>349189.31</v>
      </c>
      <c r="J19" s="200"/>
    </row>
    <row r="20" spans="1:10" ht="23.25" customHeight="1" x14ac:dyDescent="0.2">
      <c r="A20" s="140" t="s">
        <v>62</v>
      </c>
      <c r="B20" s="38" t="s">
        <v>30</v>
      </c>
      <c r="C20" s="62"/>
      <c r="D20" s="63"/>
      <c r="E20" s="198"/>
      <c r="F20" s="199"/>
      <c r="G20" s="198"/>
      <c r="H20" s="199"/>
      <c r="I20" s="198">
        <f>SUMIF(F49:F54,A20,I49:I54)</f>
        <v>48498.520000000004</v>
      </c>
      <c r="J20" s="200"/>
    </row>
    <row r="21" spans="1:10" ht="23.25" customHeight="1" x14ac:dyDescent="0.2">
      <c r="A21" s="2"/>
      <c r="B21" s="48" t="s">
        <v>31</v>
      </c>
      <c r="C21" s="64"/>
      <c r="D21" s="65"/>
      <c r="E21" s="211"/>
      <c r="F21" s="212"/>
      <c r="G21" s="211"/>
      <c r="H21" s="212"/>
      <c r="I21" s="211">
        <f>SUM(I16:J20)</f>
        <v>10097390.810000001</v>
      </c>
      <c r="J21" s="23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8">
        <f>ZakladDPHSniVypocet</f>
        <v>0</v>
      </c>
      <c r="H23" s="229"/>
      <c r="I23" s="22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6">
        <f>A23</f>
        <v>0</v>
      </c>
      <c r="H24" s="227"/>
      <c r="I24" s="227"/>
      <c r="J24" s="40" t="str">
        <f t="shared" si="0"/>
        <v>CZK</v>
      </c>
    </row>
    <row r="25" spans="1:10" ht="23.25" customHeight="1" x14ac:dyDescent="0.2">
      <c r="A25" s="2">
        <f>ZakladDPHZakl*SazbaDPH2/100</f>
        <v>2120452.0701000001</v>
      </c>
      <c r="B25" s="38" t="s">
        <v>15</v>
      </c>
      <c r="C25" s="62"/>
      <c r="D25" s="63"/>
      <c r="E25" s="67">
        <v>21</v>
      </c>
      <c r="F25" s="39" t="s">
        <v>0</v>
      </c>
      <c r="G25" s="228">
        <f>ZakladDPHZaklVypocet</f>
        <v>10097390.810000001</v>
      </c>
      <c r="H25" s="229"/>
      <c r="I25" s="229"/>
      <c r="J25" s="40" t="str">
        <f t="shared" si="0"/>
        <v>CZK</v>
      </c>
    </row>
    <row r="26" spans="1:10" ht="23.25" customHeight="1" x14ac:dyDescent="0.2">
      <c r="A26" s="2">
        <f>(A25-INT(A25))*100</f>
        <v>7.0100000128149986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5">
        <f>A25</f>
        <v>2120452.0701000001</v>
      </c>
      <c r="H26" s="196"/>
      <c r="I26" s="19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12217842.880100001</v>
      </c>
      <c r="B27" s="31" t="s">
        <v>5</v>
      </c>
      <c r="C27" s="70"/>
      <c r="D27" s="71"/>
      <c r="E27" s="70"/>
      <c r="F27" s="16"/>
      <c r="G27" s="197">
        <f>CenaCelkem-(ZakladDPHSni+DPHSni+ZakladDPHZakl+DPHZakl)</f>
        <v>0</v>
      </c>
      <c r="H27" s="197"/>
      <c r="I27" s="197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231">
        <f>ZakladDPHSniVypocet+ZakladDPHZaklVypocet</f>
        <v>10097390.810000001</v>
      </c>
      <c r="H28" s="232"/>
      <c r="I28" s="232"/>
      <c r="J28" s="117" t="str">
        <f t="shared" si="0"/>
        <v>CZK</v>
      </c>
    </row>
    <row r="29" spans="1:10" ht="27.75" customHeight="1" thickBot="1" x14ac:dyDescent="0.25">
      <c r="A29" s="2">
        <f>(A27-INT(A27))*100</f>
        <v>88.010000064969063</v>
      </c>
      <c r="B29" s="113" t="s">
        <v>37</v>
      </c>
      <c r="C29" s="118"/>
      <c r="D29" s="118"/>
      <c r="E29" s="118"/>
      <c r="F29" s="119"/>
      <c r="G29" s="231">
        <f>A27</f>
        <v>12217842.880100001</v>
      </c>
      <c r="H29" s="231"/>
      <c r="I29" s="231"/>
      <c r="J29" s="120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3" t="s">
        <v>47</v>
      </c>
      <c r="E34" s="234"/>
      <c r="G34" s="235"/>
      <c r="H34" s="236"/>
      <c r="I34" s="236"/>
      <c r="J34" s="25"/>
    </row>
    <row r="35" spans="1:10" ht="12.75" customHeight="1" x14ac:dyDescent="0.2">
      <c r="A35" s="2"/>
      <c r="B35" s="2"/>
      <c r="D35" s="225" t="s">
        <v>2</v>
      </c>
      <c r="E35" s="22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49</v>
      </c>
      <c r="C39" s="237"/>
      <c r="D39" s="237"/>
      <c r="E39" s="237"/>
      <c r="F39" s="100">
        <f>'1 1 Pol'!AD46</f>
        <v>0</v>
      </c>
      <c r="G39" s="101">
        <f>'1 1 Pol'!AE46</f>
        <v>10097390.810000001</v>
      </c>
      <c r="H39" s="102">
        <f>(F39*SazbaDPH1/100)+(G39*SazbaDPH2/100)</f>
        <v>2120452.0701000001</v>
      </c>
      <c r="I39" s="102">
        <f>F39+G39+H39</f>
        <v>12217842.880100001</v>
      </c>
      <c r="J39" s="103">
        <f>IF(CenaCelkemVypocet=0,"",I39/CenaCelkemVypocet*100)</f>
        <v>100</v>
      </c>
    </row>
    <row r="40" spans="1:10" ht="25.5" hidden="1" customHeight="1" x14ac:dyDescent="0.2">
      <c r="A40" s="89">
        <v>2</v>
      </c>
      <c r="B40" s="104" t="s">
        <v>41</v>
      </c>
      <c r="C40" s="238" t="s">
        <v>43</v>
      </c>
      <c r="D40" s="238"/>
      <c r="E40" s="238"/>
      <c r="F40" s="105">
        <f>'1 1 Pol'!AD46</f>
        <v>0</v>
      </c>
      <c r="G40" s="106">
        <f>'1 1 Pol'!AE46</f>
        <v>10097390.810000001</v>
      </c>
      <c r="H40" s="106">
        <f>(F40*SazbaDPH1/100)+(G40*SazbaDPH2/100)</f>
        <v>2120452.0701000001</v>
      </c>
      <c r="I40" s="106">
        <f>F40+G40+H40</f>
        <v>12217842.880100001</v>
      </c>
      <c r="J40" s="107">
        <f>IF(CenaCelkemVypocet=0,"",I40/CenaCelkemVypocet*100)</f>
        <v>100</v>
      </c>
    </row>
    <row r="41" spans="1:10" ht="25.5" hidden="1" customHeight="1" x14ac:dyDescent="0.2">
      <c r="A41" s="89">
        <v>3</v>
      </c>
      <c r="B41" s="108" t="s">
        <v>41</v>
      </c>
      <c r="C41" s="237" t="s">
        <v>42</v>
      </c>
      <c r="D41" s="237"/>
      <c r="E41" s="237"/>
      <c r="F41" s="109">
        <f>'1 1 Pol'!AD46</f>
        <v>0</v>
      </c>
      <c r="G41" s="102">
        <f>'1 1 Pol'!AE46</f>
        <v>10097390.810000001</v>
      </c>
      <c r="H41" s="102">
        <f>(F41*SazbaDPH1/100)+(G41*SazbaDPH2/100)</f>
        <v>2120452.0701000001</v>
      </c>
      <c r="I41" s="102">
        <f>F41+G41+H41</f>
        <v>12217842.880100001</v>
      </c>
      <c r="J41" s="103">
        <f>IF(CenaCelkemVypocet=0,"",I41/CenaCelkemVypocet*100)</f>
        <v>100</v>
      </c>
    </row>
    <row r="42" spans="1:10" ht="25.5" hidden="1" customHeight="1" x14ac:dyDescent="0.2">
      <c r="A42" s="89"/>
      <c r="B42" s="239" t="s">
        <v>50</v>
      </c>
      <c r="C42" s="240"/>
      <c r="D42" s="240"/>
      <c r="E42" s="241"/>
      <c r="F42" s="110">
        <f>SUMIF(A39:A41,"=1",F39:F41)</f>
        <v>0</v>
      </c>
      <c r="G42" s="111">
        <f>SUMIF(A39:A41,"=1",G39:G41)</f>
        <v>10097390.810000001</v>
      </c>
      <c r="H42" s="111">
        <f>SUMIF(A39:A41,"=1",H39:H41)</f>
        <v>2120452.0701000001</v>
      </c>
      <c r="I42" s="111">
        <f>SUMIF(A39:A41,"=1",I39:I41)</f>
        <v>12217842.880100001</v>
      </c>
      <c r="J42" s="112">
        <f>SUMIF(A39:A41,"=1",J39:J41)</f>
        <v>100</v>
      </c>
    </row>
    <row r="46" spans="1:10" ht="15.75" x14ac:dyDescent="0.25">
      <c r="B46" s="121" t="s">
        <v>52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53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41</v>
      </c>
      <c r="C49" s="242" t="s">
        <v>54</v>
      </c>
      <c r="D49" s="243"/>
      <c r="E49" s="243"/>
      <c r="F49" s="138" t="s">
        <v>26</v>
      </c>
      <c r="G49" s="130"/>
      <c r="H49" s="130"/>
      <c r="I49" s="130">
        <f>'1 1 Pol'!G8</f>
        <v>475500</v>
      </c>
      <c r="J49" s="135">
        <f>IF(I55=0,"",I49/I55*100)</f>
        <v>4.7091373301020125</v>
      </c>
    </row>
    <row r="50" spans="1:10" ht="36.75" customHeight="1" x14ac:dyDescent="0.2">
      <c r="A50" s="124"/>
      <c r="B50" s="129" t="s">
        <v>55</v>
      </c>
      <c r="C50" s="242" t="s">
        <v>43</v>
      </c>
      <c r="D50" s="243"/>
      <c r="E50" s="243"/>
      <c r="F50" s="138" t="s">
        <v>26</v>
      </c>
      <c r="G50" s="130"/>
      <c r="H50" s="130"/>
      <c r="I50" s="130">
        <f>'1 1 Pol'!G16</f>
        <v>3114083.25</v>
      </c>
      <c r="J50" s="135">
        <f>IF(I55=0,"",I50/I55*100)</f>
        <v>30.84047461960126</v>
      </c>
    </row>
    <row r="51" spans="1:10" ht="36.75" customHeight="1" x14ac:dyDescent="0.2">
      <c r="A51" s="124"/>
      <c r="B51" s="129" t="s">
        <v>56</v>
      </c>
      <c r="C51" s="242" t="s">
        <v>57</v>
      </c>
      <c r="D51" s="243"/>
      <c r="E51" s="243"/>
      <c r="F51" s="138" t="s">
        <v>26</v>
      </c>
      <c r="G51" s="130"/>
      <c r="H51" s="130"/>
      <c r="I51" s="130">
        <f>'1 1 Pol'!G25</f>
        <v>922320</v>
      </c>
      <c r="J51" s="135">
        <f>IF(I55=0,"",I51/I55*100)</f>
        <v>9.1342408881171142</v>
      </c>
    </row>
    <row r="52" spans="1:10" ht="36.75" customHeight="1" x14ac:dyDescent="0.2">
      <c r="A52" s="124"/>
      <c r="B52" s="129" t="s">
        <v>58</v>
      </c>
      <c r="C52" s="242" t="s">
        <v>59</v>
      </c>
      <c r="D52" s="243"/>
      <c r="E52" s="243"/>
      <c r="F52" s="138" t="s">
        <v>60</v>
      </c>
      <c r="G52" s="130"/>
      <c r="H52" s="130"/>
      <c r="I52" s="130">
        <f>'1 1 Pol'!G27</f>
        <v>5187799.7300000004</v>
      </c>
      <c r="J52" s="135">
        <f>IF(I55=0,"",I52/I55*100)</f>
        <v>51.377626434566025</v>
      </c>
    </row>
    <row r="53" spans="1:10" ht="36.75" customHeight="1" x14ac:dyDescent="0.2">
      <c r="A53" s="124"/>
      <c r="B53" s="129" t="s">
        <v>61</v>
      </c>
      <c r="C53" s="242" t="s">
        <v>29</v>
      </c>
      <c r="D53" s="243"/>
      <c r="E53" s="243"/>
      <c r="F53" s="138" t="s">
        <v>61</v>
      </c>
      <c r="G53" s="130"/>
      <c r="H53" s="130"/>
      <c r="I53" s="130">
        <f>'1 1 Pol'!G39</f>
        <v>349189.31</v>
      </c>
      <c r="J53" s="135">
        <f>IF(I55=0,"",I53/I55*100)</f>
        <v>3.4582132807435628</v>
      </c>
    </row>
    <row r="54" spans="1:10" ht="36.75" customHeight="1" x14ac:dyDescent="0.2">
      <c r="A54" s="124"/>
      <c r="B54" s="129" t="s">
        <v>62</v>
      </c>
      <c r="C54" s="242" t="s">
        <v>30</v>
      </c>
      <c r="D54" s="243"/>
      <c r="E54" s="243"/>
      <c r="F54" s="138" t="s">
        <v>62</v>
      </c>
      <c r="G54" s="130"/>
      <c r="H54" s="130"/>
      <c r="I54" s="130">
        <f>'1 1 Pol'!G42</f>
        <v>48498.520000000004</v>
      </c>
      <c r="J54" s="135">
        <f>IF(I55=0,"",I54/I55*100)</f>
        <v>0.48030744687002958</v>
      </c>
    </row>
    <row r="55" spans="1:10" ht="25.5" customHeight="1" x14ac:dyDescent="0.2">
      <c r="A55" s="125"/>
      <c r="B55" s="131" t="s">
        <v>1</v>
      </c>
      <c r="C55" s="132"/>
      <c r="D55" s="133"/>
      <c r="E55" s="133"/>
      <c r="F55" s="139"/>
      <c r="G55" s="134"/>
      <c r="H55" s="134"/>
      <c r="I55" s="134">
        <f>SUM(I49:I54)</f>
        <v>10097390.810000001</v>
      </c>
      <c r="J55" s="136">
        <f>SUM(J49:J54)</f>
        <v>100</v>
      </c>
    </row>
    <row r="56" spans="1:10" x14ac:dyDescent="0.2">
      <c r="F56" s="88"/>
      <c r="G56" s="88"/>
      <c r="H56" s="88"/>
      <c r="I56" s="88"/>
      <c r="J56" s="137"/>
    </row>
    <row r="57" spans="1:10" x14ac:dyDescent="0.2">
      <c r="F57" s="88"/>
      <c r="G57" s="88"/>
      <c r="H57" s="88"/>
      <c r="I57" s="88"/>
      <c r="J57" s="137"/>
    </row>
    <row r="58" spans="1:10" x14ac:dyDescent="0.2">
      <c r="F58" s="88"/>
      <c r="G58" s="88"/>
      <c r="H58" s="88"/>
      <c r="I58" s="88"/>
      <c r="J58" s="137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G4992"/>
  <sheetViews>
    <sheetView tabSelected="1" zoomScale="130" zoomScaleNormal="130" workbookViewId="0">
      <pane ySplit="7" topLeftCell="A8" activePane="bottomLeft" state="frozen"/>
      <selection pane="bottomLeft" activeCell="Z14" sqref="Z14"/>
    </sheetView>
  </sheetViews>
  <sheetFormatPr defaultRowHeight="12.75" outlineLevelRow="3" x14ac:dyDescent="0.2"/>
  <cols>
    <col min="1" max="1" width="3.42578125" customWidth="1"/>
    <col min="2" max="2" width="12.7109375" style="122" customWidth="1"/>
    <col min="3" max="3" width="38.28515625" style="12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8" width="0" hidden="1" customWidth="1"/>
    <col min="19" max="19" width="9.28515625" customWidth="1"/>
    <col min="20" max="24" width="0" hidden="1" customWidth="1"/>
    <col min="28" max="28" width="0" hidden="1" customWidth="1"/>
    <col min="30" max="40" width="0" hidden="1" customWidth="1"/>
    <col min="52" max="52" width="73.7109375" customWidth="1"/>
  </cols>
  <sheetData>
    <row r="1" spans="1:59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F1" t="s">
        <v>63</v>
      </c>
    </row>
    <row r="2" spans="1:59" ht="25.15" customHeight="1" x14ac:dyDescent="0.2">
      <c r="A2" s="141" t="s">
        <v>8</v>
      </c>
      <c r="B2" s="49" t="s">
        <v>48</v>
      </c>
      <c r="C2" s="251" t="s">
        <v>159</v>
      </c>
      <c r="D2" s="252"/>
      <c r="E2" s="252"/>
      <c r="F2" s="252"/>
      <c r="G2" s="253"/>
      <c r="AF2" t="s">
        <v>64</v>
      </c>
    </row>
    <row r="3" spans="1:59" ht="25.15" customHeight="1" x14ac:dyDescent="0.2">
      <c r="A3" s="141" t="s">
        <v>9</v>
      </c>
      <c r="B3" s="49" t="s">
        <v>41</v>
      </c>
      <c r="C3" s="251" t="s">
        <v>43</v>
      </c>
      <c r="D3" s="252"/>
      <c r="E3" s="252"/>
      <c r="F3" s="252"/>
      <c r="G3" s="253"/>
      <c r="AB3" s="122" t="s">
        <v>64</v>
      </c>
      <c r="AF3" t="s">
        <v>65</v>
      </c>
    </row>
    <row r="4" spans="1:59" ht="25.15" customHeight="1" x14ac:dyDescent="0.2">
      <c r="A4" s="142" t="s">
        <v>10</v>
      </c>
      <c r="B4" s="143" t="s">
        <v>41</v>
      </c>
      <c r="C4" s="254" t="s">
        <v>42</v>
      </c>
      <c r="D4" s="255"/>
      <c r="E4" s="255"/>
      <c r="F4" s="255"/>
      <c r="G4" s="256"/>
      <c r="AF4" t="s">
        <v>66</v>
      </c>
    </row>
    <row r="5" spans="1:59" x14ac:dyDescent="0.2">
      <c r="D5" s="10"/>
    </row>
    <row r="6" spans="1:59" ht="38.25" x14ac:dyDescent="0.2">
      <c r="A6" s="145" t="s">
        <v>67</v>
      </c>
      <c r="B6" s="147" t="s">
        <v>68</v>
      </c>
      <c r="C6" s="147" t="s">
        <v>69</v>
      </c>
      <c r="D6" s="146" t="s">
        <v>70</v>
      </c>
      <c r="E6" s="145" t="s">
        <v>71</v>
      </c>
      <c r="F6" s="144" t="s">
        <v>72</v>
      </c>
      <c r="G6" s="145" t="s">
        <v>31</v>
      </c>
      <c r="H6" s="148" t="s">
        <v>32</v>
      </c>
      <c r="I6" s="148" t="s">
        <v>73</v>
      </c>
      <c r="J6" s="148" t="s">
        <v>33</v>
      </c>
      <c r="K6" s="148" t="s">
        <v>74</v>
      </c>
      <c r="L6" s="148" t="s">
        <v>75</v>
      </c>
      <c r="M6" s="148" t="s">
        <v>76</v>
      </c>
      <c r="N6" s="148" t="s">
        <v>77</v>
      </c>
      <c r="O6" s="148" t="s">
        <v>78</v>
      </c>
      <c r="P6" s="148" t="s">
        <v>79</v>
      </c>
      <c r="Q6" s="148" t="s">
        <v>80</v>
      </c>
      <c r="R6" s="148" t="s">
        <v>81</v>
      </c>
      <c r="S6" s="148" t="s">
        <v>82</v>
      </c>
      <c r="T6" s="148" t="s">
        <v>83</v>
      </c>
      <c r="U6" s="148" t="s">
        <v>84</v>
      </c>
      <c r="V6" s="148" t="s">
        <v>85</v>
      </c>
      <c r="W6" s="148" t="s">
        <v>86</v>
      </c>
      <c r="X6" s="148" t="s">
        <v>87</v>
      </c>
    </row>
    <row r="7" spans="1:59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59" x14ac:dyDescent="0.2">
      <c r="A8" s="163" t="s">
        <v>88</v>
      </c>
      <c r="B8" s="164" t="s">
        <v>41</v>
      </c>
      <c r="C8" s="185" t="s">
        <v>54</v>
      </c>
      <c r="D8" s="165"/>
      <c r="E8" s="166"/>
      <c r="F8" s="167"/>
      <c r="G8" s="167">
        <f>SUMIF(AF9:AF15,"&lt;&gt;NOR",G9:G15)</f>
        <v>475500</v>
      </c>
      <c r="H8" s="167"/>
      <c r="I8" s="167">
        <f>SUM(I9:I15)</f>
        <v>205200</v>
      </c>
      <c r="J8" s="167"/>
      <c r="K8" s="167">
        <f>SUM(K9:K15)</f>
        <v>270300</v>
      </c>
      <c r="L8" s="167"/>
      <c r="M8" s="167">
        <f>SUM(M9:M15)</f>
        <v>575355</v>
      </c>
      <c r="N8" s="166"/>
      <c r="O8" s="166">
        <f>SUM(O9:O15)</f>
        <v>540</v>
      </c>
      <c r="P8" s="166"/>
      <c r="Q8" s="166">
        <f>SUM(Q9:Q15)</f>
        <v>0</v>
      </c>
      <c r="R8" s="167"/>
      <c r="S8" s="168"/>
      <c r="T8" s="162"/>
      <c r="U8" s="162">
        <f>SUM(U9:U15)</f>
        <v>402.15000000000003</v>
      </c>
      <c r="V8" s="162"/>
      <c r="W8" s="162"/>
      <c r="X8" s="162"/>
      <c r="AF8" t="s">
        <v>89</v>
      </c>
    </row>
    <row r="9" spans="1:59" outlineLevel="1" x14ac:dyDescent="0.2">
      <c r="A9" s="170">
        <v>1</v>
      </c>
      <c r="B9" s="171" t="s">
        <v>90</v>
      </c>
      <c r="C9" s="186" t="s">
        <v>91</v>
      </c>
      <c r="D9" s="172" t="s">
        <v>92</v>
      </c>
      <c r="E9" s="173">
        <v>300</v>
      </c>
      <c r="F9" s="174">
        <v>171</v>
      </c>
      <c r="G9" s="175">
        <f>ROUND(E9*F9,2)</f>
        <v>51300</v>
      </c>
      <c r="H9" s="174">
        <v>0</v>
      </c>
      <c r="I9" s="175">
        <f>ROUND(E9*H9,2)</f>
        <v>0</v>
      </c>
      <c r="J9" s="174">
        <v>171</v>
      </c>
      <c r="K9" s="175">
        <f>ROUND(E9*J9,2)</f>
        <v>51300</v>
      </c>
      <c r="L9" s="175">
        <v>21</v>
      </c>
      <c r="M9" s="175">
        <f>G9*(1+L9/100)</f>
        <v>62073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6" t="s">
        <v>93</v>
      </c>
      <c r="T9" s="159">
        <v>0.20200000000000001</v>
      </c>
      <c r="U9" s="159">
        <f>ROUND(E9*T9,2)</f>
        <v>60.6</v>
      </c>
      <c r="V9" s="159"/>
      <c r="W9" s="159" t="s">
        <v>94</v>
      </c>
      <c r="X9" s="159" t="s">
        <v>95</v>
      </c>
      <c r="Y9" s="149"/>
      <c r="Z9" s="149"/>
      <c r="AA9" s="149"/>
      <c r="AB9" s="149"/>
      <c r="AC9" s="149"/>
      <c r="AD9" s="149"/>
      <c r="AE9" s="149"/>
      <c r="AF9" s="149" t="s">
        <v>96</v>
      </c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</row>
    <row r="10" spans="1:59" outlineLevel="2" x14ac:dyDescent="0.2">
      <c r="A10" s="156"/>
      <c r="B10" s="157"/>
      <c r="C10" s="187" t="s">
        <v>97</v>
      </c>
      <c r="D10" s="160"/>
      <c r="E10" s="161">
        <v>300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 t="s">
        <v>98</v>
      </c>
      <c r="AG10" s="149">
        <v>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</row>
    <row r="11" spans="1:59" outlineLevel="1" x14ac:dyDescent="0.2">
      <c r="A11" s="177">
        <v>2</v>
      </c>
      <c r="B11" s="178" t="s">
        <v>99</v>
      </c>
      <c r="C11" s="188" t="s">
        <v>100</v>
      </c>
      <c r="D11" s="179" t="s">
        <v>101</v>
      </c>
      <c r="E11" s="180">
        <v>1000</v>
      </c>
      <c r="F11" s="181">
        <v>219</v>
      </c>
      <c r="G11" s="182">
        <f>ROUND(E11*F11,2)</f>
        <v>219000</v>
      </c>
      <c r="H11" s="181">
        <v>0</v>
      </c>
      <c r="I11" s="182">
        <f>ROUND(E11*H11,2)</f>
        <v>0</v>
      </c>
      <c r="J11" s="181">
        <v>219</v>
      </c>
      <c r="K11" s="182">
        <f>ROUND(E11*J11,2)</f>
        <v>219000</v>
      </c>
      <c r="L11" s="182">
        <v>21</v>
      </c>
      <c r="M11" s="182">
        <f>G11*(1+L11/100)</f>
        <v>264990</v>
      </c>
      <c r="N11" s="180">
        <v>0</v>
      </c>
      <c r="O11" s="180">
        <f>ROUND(E11*N11,2)</f>
        <v>0</v>
      </c>
      <c r="P11" s="180">
        <v>0</v>
      </c>
      <c r="Q11" s="180">
        <f>ROUND(E11*P11,2)</f>
        <v>0</v>
      </c>
      <c r="R11" s="182"/>
      <c r="S11" s="183" t="s">
        <v>93</v>
      </c>
      <c r="T11" s="159">
        <v>0.34155000000000002</v>
      </c>
      <c r="U11" s="159">
        <f>ROUND(E11*T11,2)</f>
        <v>341.55</v>
      </c>
      <c r="V11" s="159"/>
      <c r="W11" s="159" t="s">
        <v>102</v>
      </c>
      <c r="X11" s="159" t="s">
        <v>95</v>
      </c>
      <c r="Y11" s="149"/>
      <c r="Z11" s="149"/>
      <c r="AA11" s="149"/>
      <c r="AB11" s="149"/>
      <c r="AC11" s="149"/>
      <c r="AD11" s="149"/>
      <c r="AE11" s="149"/>
      <c r="AF11" s="149" t="s">
        <v>103</v>
      </c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</row>
    <row r="12" spans="1:59" outlineLevel="1" x14ac:dyDescent="0.2">
      <c r="A12" s="170">
        <v>3</v>
      </c>
      <c r="B12" s="171" t="s">
        <v>104</v>
      </c>
      <c r="C12" s="186" t="s">
        <v>105</v>
      </c>
      <c r="D12" s="172" t="s">
        <v>106</v>
      </c>
      <c r="E12" s="173">
        <v>270</v>
      </c>
      <c r="F12" s="174">
        <v>400</v>
      </c>
      <c r="G12" s="175">
        <f>ROUND(E12*F12,2)</f>
        <v>108000</v>
      </c>
      <c r="H12" s="174">
        <v>400</v>
      </c>
      <c r="I12" s="175">
        <f>ROUND(E12*H12,2)</f>
        <v>108000</v>
      </c>
      <c r="J12" s="174">
        <v>0</v>
      </c>
      <c r="K12" s="175">
        <f>ROUND(E12*J12,2)</f>
        <v>0</v>
      </c>
      <c r="L12" s="175">
        <v>21</v>
      </c>
      <c r="M12" s="175">
        <f>G12*(1+L12/100)</f>
        <v>130680</v>
      </c>
      <c r="N12" s="173">
        <v>1</v>
      </c>
      <c r="O12" s="173">
        <f>ROUND(E12*N12,2)</f>
        <v>270</v>
      </c>
      <c r="P12" s="173">
        <v>0</v>
      </c>
      <c r="Q12" s="173">
        <f>ROUND(E12*P12,2)</f>
        <v>0</v>
      </c>
      <c r="R12" s="175" t="s">
        <v>107</v>
      </c>
      <c r="S12" s="176" t="s">
        <v>93</v>
      </c>
      <c r="T12" s="159">
        <v>0</v>
      </c>
      <c r="U12" s="159">
        <f>ROUND(E12*T12,2)</f>
        <v>0</v>
      </c>
      <c r="V12" s="159"/>
      <c r="W12" s="159" t="s">
        <v>108</v>
      </c>
      <c r="X12" s="159" t="s">
        <v>95</v>
      </c>
      <c r="Y12" s="149"/>
      <c r="Z12" s="149"/>
      <c r="AA12" s="149"/>
      <c r="AB12" s="149"/>
      <c r="AC12" s="149"/>
      <c r="AD12" s="149"/>
      <c r="AE12" s="149"/>
      <c r="AF12" s="149" t="s">
        <v>109</v>
      </c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</row>
    <row r="13" spans="1:59" outlineLevel="2" x14ac:dyDescent="0.2">
      <c r="A13" s="156"/>
      <c r="B13" s="157"/>
      <c r="C13" s="187" t="s">
        <v>110</v>
      </c>
      <c r="D13" s="160"/>
      <c r="E13" s="161">
        <v>270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 t="s">
        <v>98</v>
      </c>
      <c r="AG13" s="149">
        <v>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</row>
    <row r="14" spans="1:59" outlineLevel="1" x14ac:dyDescent="0.2">
      <c r="A14" s="170">
        <v>4</v>
      </c>
      <c r="B14" s="171" t="s">
        <v>111</v>
      </c>
      <c r="C14" s="186" t="s">
        <v>112</v>
      </c>
      <c r="D14" s="172" t="s">
        <v>106</v>
      </c>
      <c r="E14" s="173">
        <v>270</v>
      </c>
      <c r="F14" s="174">
        <v>360</v>
      </c>
      <c r="G14" s="175">
        <f>ROUND(E14*F14,2)</f>
        <v>97200</v>
      </c>
      <c r="H14" s="174">
        <v>360</v>
      </c>
      <c r="I14" s="175">
        <f>ROUND(E14*H14,2)</f>
        <v>97200</v>
      </c>
      <c r="J14" s="174">
        <v>0</v>
      </c>
      <c r="K14" s="175">
        <f>ROUND(E14*J14,2)</f>
        <v>0</v>
      </c>
      <c r="L14" s="175">
        <v>21</v>
      </c>
      <c r="M14" s="175">
        <f>G14*(1+L14/100)</f>
        <v>117612</v>
      </c>
      <c r="N14" s="173">
        <v>1</v>
      </c>
      <c r="O14" s="173">
        <f>ROUND(E14*N14,2)</f>
        <v>270</v>
      </c>
      <c r="P14" s="173">
        <v>0</v>
      </c>
      <c r="Q14" s="173">
        <f>ROUND(E14*P14,2)</f>
        <v>0</v>
      </c>
      <c r="R14" s="175" t="s">
        <v>107</v>
      </c>
      <c r="S14" s="176" t="s">
        <v>93</v>
      </c>
      <c r="T14" s="159">
        <v>0</v>
      </c>
      <c r="U14" s="159">
        <f>ROUND(E14*T14,2)</f>
        <v>0</v>
      </c>
      <c r="V14" s="159"/>
      <c r="W14" s="159" t="s">
        <v>108</v>
      </c>
      <c r="X14" s="159" t="s">
        <v>95</v>
      </c>
      <c r="Y14" s="149"/>
      <c r="Z14" s="149"/>
      <c r="AA14" s="149"/>
      <c r="AB14" s="149"/>
      <c r="AC14" s="149"/>
      <c r="AD14" s="149"/>
      <c r="AE14" s="149"/>
      <c r="AF14" s="149" t="s">
        <v>109</v>
      </c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</row>
    <row r="15" spans="1:59" outlineLevel="2" x14ac:dyDescent="0.2">
      <c r="A15" s="156"/>
      <c r="B15" s="157"/>
      <c r="C15" s="187" t="s">
        <v>110</v>
      </c>
      <c r="D15" s="160"/>
      <c r="E15" s="161">
        <v>270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49"/>
      <c r="Z15" s="149"/>
      <c r="AA15" s="149"/>
      <c r="AB15" s="149"/>
      <c r="AC15" s="149"/>
      <c r="AD15" s="149"/>
      <c r="AE15" s="149"/>
      <c r="AF15" s="149" t="s">
        <v>98</v>
      </c>
      <c r="AG15" s="149">
        <v>0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</row>
    <row r="16" spans="1:59" x14ac:dyDescent="0.2">
      <c r="A16" s="163" t="s">
        <v>88</v>
      </c>
      <c r="B16" s="164" t="s">
        <v>55</v>
      </c>
      <c r="C16" s="185" t="s">
        <v>43</v>
      </c>
      <c r="D16" s="165"/>
      <c r="E16" s="166"/>
      <c r="F16" s="167"/>
      <c r="G16" s="167">
        <f>SUMIF(AF17:AF24,"&lt;&gt;NOR",G17:G24)</f>
        <v>3114083.25</v>
      </c>
      <c r="H16" s="167"/>
      <c r="I16" s="167">
        <f>SUM(I17:I24)</f>
        <v>51398.48</v>
      </c>
      <c r="J16" s="167"/>
      <c r="K16" s="167">
        <f>SUM(K17:K24)</f>
        <v>3062684.77</v>
      </c>
      <c r="L16" s="167"/>
      <c r="M16" s="167">
        <f>SUM(M17:M24)</f>
        <v>3768040.7324999999</v>
      </c>
      <c r="N16" s="166"/>
      <c r="O16" s="166">
        <f>SUM(O17:O24)</f>
        <v>1.1200000000000001</v>
      </c>
      <c r="P16" s="166"/>
      <c r="Q16" s="166">
        <f>SUM(Q17:Q24)</f>
        <v>190.13</v>
      </c>
      <c r="R16" s="167"/>
      <c r="S16" s="168"/>
      <c r="T16" s="162"/>
      <c r="U16" s="162">
        <f>SUM(U17:U24)</f>
        <v>6790.8600000000006</v>
      </c>
      <c r="V16" s="162"/>
      <c r="W16" s="162"/>
      <c r="X16" s="162"/>
      <c r="AF16" t="s">
        <v>89</v>
      </c>
    </row>
    <row r="17" spans="1:59" ht="22.5" outlineLevel="1" x14ac:dyDescent="0.2">
      <c r="A17" s="170">
        <v>5</v>
      </c>
      <c r="B17" s="171" t="s">
        <v>115</v>
      </c>
      <c r="C17" s="186" t="s">
        <v>116</v>
      </c>
      <c r="D17" s="172" t="s">
        <v>92</v>
      </c>
      <c r="E17" s="173">
        <v>760.5</v>
      </c>
      <c r="F17" s="174">
        <v>455</v>
      </c>
      <c r="G17" s="175">
        <f>ROUND(E17*F17,2)</f>
        <v>346027.5</v>
      </c>
      <c r="H17" s="174">
        <v>15.32</v>
      </c>
      <c r="I17" s="175">
        <f>ROUND(E17*H17,2)</f>
        <v>11650.86</v>
      </c>
      <c r="J17" s="174">
        <v>439.68</v>
      </c>
      <c r="K17" s="175">
        <f>ROUND(E17*J17,2)</f>
        <v>334376.64</v>
      </c>
      <c r="L17" s="175">
        <v>21</v>
      </c>
      <c r="M17" s="175">
        <f>G17*(1+L17/100)</f>
        <v>418693.27499999997</v>
      </c>
      <c r="N17" s="173">
        <v>6.8000000000000005E-4</v>
      </c>
      <c r="O17" s="173">
        <f>ROUND(E17*N17,2)</f>
        <v>0.52</v>
      </c>
      <c r="P17" s="173">
        <v>0.25</v>
      </c>
      <c r="Q17" s="173">
        <f>ROUND(E17*P17,2)</f>
        <v>190.13</v>
      </c>
      <c r="R17" s="175"/>
      <c r="S17" s="176" t="s">
        <v>93</v>
      </c>
      <c r="T17" s="159">
        <v>5.2915000000000001</v>
      </c>
      <c r="U17" s="159">
        <f>ROUND(E17*T17,2)</f>
        <v>4024.19</v>
      </c>
      <c r="V17" s="159"/>
      <c r="W17" s="159" t="s">
        <v>102</v>
      </c>
      <c r="X17" s="159" t="s">
        <v>95</v>
      </c>
      <c r="Y17" s="149"/>
      <c r="Z17" s="149"/>
      <c r="AA17" s="149"/>
      <c r="AB17" s="149"/>
      <c r="AC17" s="149"/>
      <c r="AD17" s="149"/>
      <c r="AE17" s="149"/>
      <c r="AF17" s="149" t="s">
        <v>103</v>
      </c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</row>
    <row r="18" spans="1:59" ht="33.75" outlineLevel="2" x14ac:dyDescent="0.2">
      <c r="A18" s="156"/>
      <c r="B18" s="157"/>
      <c r="C18" s="257" t="s">
        <v>117</v>
      </c>
      <c r="D18" s="258"/>
      <c r="E18" s="258"/>
      <c r="F18" s="258"/>
      <c r="G18" s="258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 t="s">
        <v>114</v>
      </c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84" t="str">
        <f>C18</f>
        <v>V položce není kalkulován poplatek za skládku pro vybouranou suť. Tyto náklady se oceňují individuálně podle místních podmínek. Orientační hmotnost vybouraných konstrukcí je 0,250 t/m3 konstrukce.</v>
      </c>
      <c r="BA18" s="149"/>
      <c r="BB18" s="149"/>
      <c r="BC18" s="149"/>
      <c r="BD18" s="149"/>
      <c r="BE18" s="149"/>
      <c r="BF18" s="149"/>
      <c r="BG18" s="149"/>
    </row>
    <row r="19" spans="1:59" outlineLevel="3" x14ac:dyDescent="0.2">
      <c r="A19" s="156"/>
      <c r="B19" s="157"/>
      <c r="C19" s="248" t="s">
        <v>113</v>
      </c>
      <c r="D19" s="249"/>
      <c r="E19" s="249"/>
      <c r="F19" s="249"/>
      <c r="G19" s="24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49"/>
      <c r="Z19" s="149"/>
      <c r="AA19" s="149"/>
      <c r="AB19" s="149"/>
      <c r="AC19" s="149"/>
      <c r="AD19" s="149"/>
      <c r="AE19" s="149"/>
      <c r="AF19" s="149" t="s">
        <v>114</v>
      </c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</row>
    <row r="20" spans="1:59" outlineLevel="2" x14ac:dyDescent="0.2">
      <c r="A20" s="156"/>
      <c r="B20" s="157"/>
      <c r="C20" s="187" t="s">
        <v>118</v>
      </c>
      <c r="D20" s="160"/>
      <c r="E20" s="161">
        <v>760.5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49"/>
      <c r="Z20" s="149"/>
      <c r="AA20" s="149"/>
      <c r="AB20" s="149"/>
      <c r="AC20" s="149"/>
      <c r="AD20" s="149"/>
      <c r="AE20" s="149"/>
      <c r="AF20" s="149" t="s">
        <v>98</v>
      </c>
      <c r="AG20" s="149">
        <v>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</row>
    <row r="21" spans="1:59" ht="22.5" outlineLevel="1" x14ac:dyDescent="0.2">
      <c r="A21" s="170">
        <v>6</v>
      </c>
      <c r="B21" s="171" t="s">
        <v>119</v>
      </c>
      <c r="C21" s="186" t="s">
        <v>120</v>
      </c>
      <c r="D21" s="172" t="s">
        <v>92</v>
      </c>
      <c r="E21" s="173">
        <v>4605.75</v>
      </c>
      <c r="F21" s="174">
        <v>601</v>
      </c>
      <c r="G21" s="175">
        <f>ROUND(E21*F21,2)</f>
        <v>2768055.75</v>
      </c>
      <c r="H21" s="174">
        <v>8.6300000000000008</v>
      </c>
      <c r="I21" s="175">
        <f>ROUND(E21*H21,2)</f>
        <v>39747.620000000003</v>
      </c>
      <c r="J21" s="174">
        <v>592.37</v>
      </c>
      <c r="K21" s="175">
        <f>ROUND(E21*J21,2)</f>
        <v>2728308.13</v>
      </c>
      <c r="L21" s="175">
        <v>21</v>
      </c>
      <c r="M21" s="175">
        <f>G21*(1+L21/100)</f>
        <v>3349347.4575</v>
      </c>
      <c r="N21" s="173">
        <v>1.2999999999999999E-4</v>
      </c>
      <c r="O21" s="173">
        <f>ROUND(E21*N21,2)</f>
        <v>0.6</v>
      </c>
      <c r="P21" s="173">
        <v>0</v>
      </c>
      <c r="Q21" s="173">
        <f>ROUND(E21*P21,2)</f>
        <v>0</v>
      </c>
      <c r="R21" s="175"/>
      <c r="S21" s="176" t="s">
        <v>93</v>
      </c>
      <c r="T21" s="159">
        <v>0.60070000000000001</v>
      </c>
      <c r="U21" s="159">
        <f>ROUND(E21*T21,2)</f>
        <v>2766.67</v>
      </c>
      <c r="V21" s="159"/>
      <c r="W21" s="159" t="s">
        <v>102</v>
      </c>
      <c r="X21" s="159" t="s">
        <v>95</v>
      </c>
      <c r="Y21" s="149"/>
      <c r="Z21" s="149"/>
      <c r="AA21" s="149"/>
      <c r="AB21" s="149"/>
      <c r="AC21" s="149"/>
      <c r="AD21" s="149"/>
      <c r="AE21" s="149"/>
      <c r="AF21" s="149" t="s">
        <v>103</v>
      </c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</row>
    <row r="22" spans="1:59" ht="33.75" outlineLevel="2" x14ac:dyDescent="0.2">
      <c r="A22" s="156"/>
      <c r="B22" s="157"/>
      <c r="C22" s="257" t="s">
        <v>121</v>
      </c>
      <c r="D22" s="258"/>
      <c r="E22" s="258"/>
      <c r="F22" s="258"/>
      <c r="G22" s="258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49"/>
      <c r="Z22" s="149"/>
      <c r="AA22" s="149"/>
      <c r="AB22" s="149"/>
      <c r="AC22" s="149"/>
      <c r="AD22" s="149"/>
      <c r="AE22" s="149"/>
      <c r="AF22" s="149" t="s">
        <v>114</v>
      </c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84" t="str">
        <f>C22</f>
        <v>V položce není kalkulován poplatek za skládku pro vybouranou suť. Tyto náklady se oceňují individuálně podle místních podmínek. Orientační hmotnost vybouraných konstrukcí je 0,350 t/m3 konstrukce.</v>
      </c>
      <c r="BA22" s="149"/>
      <c r="BB22" s="149"/>
      <c r="BC22" s="149"/>
      <c r="BD22" s="149"/>
      <c r="BE22" s="149"/>
      <c r="BF22" s="149"/>
      <c r="BG22" s="149"/>
    </row>
    <row r="23" spans="1:59" outlineLevel="3" x14ac:dyDescent="0.2">
      <c r="A23" s="156"/>
      <c r="B23" s="157"/>
      <c r="C23" s="248" t="s">
        <v>113</v>
      </c>
      <c r="D23" s="249"/>
      <c r="E23" s="249"/>
      <c r="F23" s="249"/>
      <c r="G23" s="24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 t="s">
        <v>114</v>
      </c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</row>
    <row r="24" spans="1:59" outlineLevel="2" x14ac:dyDescent="0.2">
      <c r="A24" s="156"/>
      <c r="B24" s="157"/>
      <c r="C24" s="187" t="s">
        <v>122</v>
      </c>
      <c r="D24" s="160"/>
      <c r="E24" s="161">
        <v>4605.75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49"/>
      <c r="Z24" s="149"/>
      <c r="AA24" s="149"/>
      <c r="AB24" s="149"/>
      <c r="AC24" s="149"/>
      <c r="AD24" s="149"/>
      <c r="AE24" s="149"/>
      <c r="AF24" s="149" t="s">
        <v>98</v>
      </c>
      <c r="AG24" s="149">
        <v>0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</row>
    <row r="25" spans="1:59" x14ac:dyDescent="0.2">
      <c r="A25" s="163" t="s">
        <v>88</v>
      </c>
      <c r="B25" s="164" t="s">
        <v>56</v>
      </c>
      <c r="C25" s="185" t="s">
        <v>57</v>
      </c>
      <c r="D25" s="165"/>
      <c r="E25" s="166"/>
      <c r="F25" s="167"/>
      <c r="G25" s="167">
        <f>SUMIF(AF26:AF26,"&lt;&gt;NOR",G26:G26)</f>
        <v>922320</v>
      </c>
      <c r="H25" s="167"/>
      <c r="I25" s="167">
        <f>SUM(I26:I26)</f>
        <v>0</v>
      </c>
      <c r="J25" s="167"/>
      <c r="K25" s="167">
        <f>SUM(K26:K26)</f>
        <v>922320</v>
      </c>
      <c r="L25" s="167"/>
      <c r="M25" s="167">
        <f>SUM(M26:M26)</f>
        <v>1116007.2</v>
      </c>
      <c r="N25" s="166"/>
      <c r="O25" s="166">
        <f>SUM(O26:O26)</f>
        <v>0</v>
      </c>
      <c r="P25" s="166"/>
      <c r="Q25" s="166">
        <f>SUM(Q26:Q26)</f>
        <v>0</v>
      </c>
      <c r="R25" s="167"/>
      <c r="S25" s="168"/>
      <c r="T25" s="162"/>
      <c r="U25" s="162">
        <f>SUM(U26:U26)</f>
        <v>1550.88</v>
      </c>
      <c r="V25" s="162"/>
      <c r="W25" s="162"/>
      <c r="X25" s="162"/>
      <c r="AF25" t="s">
        <v>89</v>
      </c>
    </row>
    <row r="26" spans="1:59" ht="22.5" outlineLevel="1" x14ac:dyDescent="0.2">
      <c r="A26" s="177">
        <v>7</v>
      </c>
      <c r="B26" s="178" t="s">
        <v>123</v>
      </c>
      <c r="C26" s="188" t="s">
        <v>124</v>
      </c>
      <c r="D26" s="179" t="s">
        <v>106</v>
      </c>
      <c r="E26" s="180">
        <v>540</v>
      </c>
      <c r="F26" s="181">
        <v>1708</v>
      </c>
      <c r="G26" s="182">
        <f>ROUND(E26*F26,2)</f>
        <v>922320</v>
      </c>
      <c r="H26" s="181">
        <v>0</v>
      </c>
      <c r="I26" s="182">
        <f>ROUND(E26*H26,2)</f>
        <v>0</v>
      </c>
      <c r="J26" s="181">
        <v>1708</v>
      </c>
      <c r="K26" s="182">
        <f>ROUND(E26*J26,2)</f>
        <v>922320</v>
      </c>
      <c r="L26" s="182">
        <v>21</v>
      </c>
      <c r="M26" s="182">
        <f>G26*(1+L26/100)</f>
        <v>1116007.2</v>
      </c>
      <c r="N26" s="180">
        <v>0</v>
      </c>
      <c r="O26" s="180">
        <f>ROUND(E26*N26,2)</f>
        <v>0</v>
      </c>
      <c r="P26" s="180">
        <v>0</v>
      </c>
      <c r="Q26" s="180">
        <f>ROUND(E26*P26,2)</f>
        <v>0</v>
      </c>
      <c r="R26" s="182"/>
      <c r="S26" s="183" t="s">
        <v>93</v>
      </c>
      <c r="T26" s="159">
        <v>2.8719999999999999</v>
      </c>
      <c r="U26" s="159">
        <f>ROUND(E26*T26,2)</f>
        <v>1550.88</v>
      </c>
      <c r="V26" s="159"/>
      <c r="W26" s="159" t="s">
        <v>125</v>
      </c>
      <c r="X26" s="159" t="s">
        <v>95</v>
      </c>
      <c r="Y26" s="149"/>
      <c r="Z26" s="149"/>
      <c r="AA26" s="149"/>
      <c r="AB26" s="149"/>
      <c r="AC26" s="149"/>
      <c r="AD26" s="149"/>
      <c r="AE26" s="149"/>
      <c r="AF26" s="149" t="s">
        <v>126</v>
      </c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</row>
    <row r="27" spans="1:59" x14ac:dyDescent="0.2">
      <c r="A27" s="163" t="s">
        <v>88</v>
      </c>
      <c r="B27" s="164" t="s">
        <v>58</v>
      </c>
      <c r="C27" s="185" t="s">
        <v>59</v>
      </c>
      <c r="D27" s="165"/>
      <c r="E27" s="166"/>
      <c r="F27" s="167"/>
      <c r="G27" s="167">
        <f>SUMIF(AF28:AF38,"&lt;&gt;NOR",G28:G38)</f>
        <v>5187799.7300000004</v>
      </c>
      <c r="H27" s="167"/>
      <c r="I27" s="167">
        <f>SUM(I28:I38)</f>
        <v>0</v>
      </c>
      <c r="J27" s="167"/>
      <c r="K27" s="167">
        <f>SUM(K28:K38)</f>
        <v>5187799.7300000004</v>
      </c>
      <c r="L27" s="167"/>
      <c r="M27" s="167">
        <f>SUM(M28:M38)</f>
        <v>6277237.6732999999</v>
      </c>
      <c r="N27" s="166"/>
      <c r="O27" s="166">
        <f>SUM(O28:O38)</f>
        <v>0</v>
      </c>
      <c r="P27" s="166"/>
      <c r="Q27" s="166">
        <f>SUM(Q28:Q38)</f>
        <v>0</v>
      </c>
      <c r="R27" s="167"/>
      <c r="S27" s="168"/>
      <c r="T27" s="162"/>
      <c r="U27" s="162">
        <f>SUM(U28:U38)</f>
        <v>0</v>
      </c>
      <c r="V27" s="162"/>
      <c r="W27" s="162"/>
      <c r="X27" s="162"/>
      <c r="AF27" t="s">
        <v>89</v>
      </c>
    </row>
    <row r="28" spans="1:59" outlineLevel="1" x14ac:dyDescent="0.2">
      <c r="A28" s="170">
        <v>8</v>
      </c>
      <c r="B28" s="171" t="s">
        <v>127</v>
      </c>
      <c r="C28" s="186" t="s">
        <v>128</v>
      </c>
      <c r="D28" s="172" t="s">
        <v>106</v>
      </c>
      <c r="E28" s="173">
        <v>75</v>
      </c>
      <c r="F28" s="174">
        <v>-2661.07</v>
      </c>
      <c r="G28" s="175">
        <f>ROUND(E28*F28,2)</f>
        <v>-199580.25</v>
      </c>
      <c r="H28" s="174">
        <v>0</v>
      </c>
      <c r="I28" s="175">
        <f>ROUND(E28*H28,2)</f>
        <v>0</v>
      </c>
      <c r="J28" s="174">
        <v>-2661.07</v>
      </c>
      <c r="K28" s="175">
        <f>ROUND(E28*J28,2)</f>
        <v>-199580.25</v>
      </c>
      <c r="L28" s="175">
        <v>21</v>
      </c>
      <c r="M28" s="175">
        <f>G28*(1+L28/100)</f>
        <v>-241492.10249999998</v>
      </c>
      <c r="N28" s="173">
        <v>0</v>
      </c>
      <c r="O28" s="173">
        <f>ROUND(E28*N28,2)</f>
        <v>0</v>
      </c>
      <c r="P28" s="173">
        <v>0</v>
      </c>
      <c r="Q28" s="173">
        <f>ROUND(E28*P28,2)</f>
        <v>0</v>
      </c>
      <c r="R28" s="175"/>
      <c r="S28" s="176" t="s">
        <v>93</v>
      </c>
      <c r="T28" s="159">
        <v>0</v>
      </c>
      <c r="U28" s="159">
        <f>ROUND(E28*T28,2)</f>
        <v>0</v>
      </c>
      <c r="V28" s="159"/>
      <c r="W28" s="159" t="s">
        <v>94</v>
      </c>
      <c r="X28" s="159" t="s">
        <v>95</v>
      </c>
      <c r="Y28" s="149"/>
      <c r="Z28" s="149"/>
      <c r="AA28" s="149"/>
      <c r="AB28" s="149"/>
      <c r="AC28" s="149"/>
      <c r="AD28" s="149"/>
      <c r="AE28" s="149"/>
      <c r="AF28" s="149" t="s">
        <v>96</v>
      </c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</row>
    <row r="29" spans="1:59" outlineLevel="2" x14ac:dyDescent="0.2">
      <c r="A29" s="156"/>
      <c r="B29" s="157"/>
      <c r="C29" s="187" t="s">
        <v>129</v>
      </c>
      <c r="D29" s="160"/>
      <c r="E29" s="161">
        <v>75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49"/>
      <c r="Z29" s="149"/>
      <c r="AA29" s="149"/>
      <c r="AB29" s="149"/>
      <c r="AC29" s="149"/>
      <c r="AD29" s="149"/>
      <c r="AE29" s="149"/>
      <c r="AF29" s="149" t="s">
        <v>98</v>
      </c>
      <c r="AG29" s="149">
        <v>0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</row>
    <row r="30" spans="1:59" outlineLevel="1" x14ac:dyDescent="0.2">
      <c r="A30" s="170">
        <v>9</v>
      </c>
      <c r="B30" s="171" t="s">
        <v>130</v>
      </c>
      <c r="C30" s="186" t="s">
        <v>131</v>
      </c>
      <c r="D30" s="172" t="s">
        <v>106</v>
      </c>
      <c r="E30" s="173">
        <v>65</v>
      </c>
      <c r="F30" s="174">
        <v>-3152.58</v>
      </c>
      <c r="G30" s="175">
        <f>ROUND(E30*F30,2)</f>
        <v>-204917.7</v>
      </c>
      <c r="H30" s="174">
        <v>0</v>
      </c>
      <c r="I30" s="175">
        <f>ROUND(E30*H30,2)</f>
        <v>0</v>
      </c>
      <c r="J30" s="174">
        <v>-3152.58</v>
      </c>
      <c r="K30" s="175">
        <f>ROUND(E30*J30,2)</f>
        <v>-204917.7</v>
      </c>
      <c r="L30" s="175">
        <v>21</v>
      </c>
      <c r="M30" s="175">
        <f>G30*(1+L30/100)</f>
        <v>-247950.41700000002</v>
      </c>
      <c r="N30" s="173">
        <v>0</v>
      </c>
      <c r="O30" s="173">
        <f>ROUND(E30*N30,2)</f>
        <v>0</v>
      </c>
      <c r="P30" s="173">
        <v>0</v>
      </c>
      <c r="Q30" s="173">
        <f>ROUND(E30*P30,2)</f>
        <v>0</v>
      </c>
      <c r="R30" s="175"/>
      <c r="S30" s="176" t="s">
        <v>93</v>
      </c>
      <c r="T30" s="159">
        <v>0</v>
      </c>
      <c r="U30" s="159">
        <f>ROUND(E30*T30,2)</f>
        <v>0</v>
      </c>
      <c r="V30" s="159"/>
      <c r="W30" s="159" t="s">
        <v>94</v>
      </c>
      <c r="X30" s="159" t="s">
        <v>95</v>
      </c>
      <c r="Y30" s="149"/>
      <c r="Z30" s="149"/>
      <c r="AA30" s="149"/>
      <c r="AB30" s="149"/>
      <c r="AC30" s="149"/>
      <c r="AD30" s="149"/>
      <c r="AE30" s="149"/>
      <c r="AF30" s="149" t="s">
        <v>96</v>
      </c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</row>
    <row r="31" spans="1:59" outlineLevel="2" x14ac:dyDescent="0.2">
      <c r="A31" s="156"/>
      <c r="B31" s="157"/>
      <c r="C31" s="187" t="s">
        <v>132</v>
      </c>
      <c r="D31" s="160"/>
      <c r="E31" s="161">
        <v>65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49"/>
      <c r="Z31" s="149"/>
      <c r="AA31" s="149"/>
      <c r="AB31" s="149"/>
      <c r="AC31" s="149"/>
      <c r="AD31" s="149"/>
      <c r="AE31" s="149"/>
      <c r="AF31" s="149" t="s">
        <v>98</v>
      </c>
      <c r="AG31" s="149">
        <v>0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</row>
    <row r="32" spans="1:59" outlineLevel="1" x14ac:dyDescent="0.2">
      <c r="A32" s="170">
        <v>10</v>
      </c>
      <c r="B32" s="171" t="s">
        <v>133</v>
      </c>
      <c r="C32" s="186" t="s">
        <v>134</v>
      </c>
      <c r="D32" s="172" t="s">
        <v>106</v>
      </c>
      <c r="E32" s="173">
        <v>4</v>
      </c>
      <c r="F32" s="174">
        <v>-15770.08</v>
      </c>
      <c r="G32" s="175">
        <f>ROUND(E32*F32,2)</f>
        <v>-63080.32</v>
      </c>
      <c r="H32" s="174">
        <v>0</v>
      </c>
      <c r="I32" s="175">
        <f>ROUND(E32*H32,2)</f>
        <v>0</v>
      </c>
      <c r="J32" s="174">
        <v>-15770.08</v>
      </c>
      <c r="K32" s="175">
        <f>ROUND(E32*J32,2)</f>
        <v>-63080.32</v>
      </c>
      <c r="L32" s="175">
        <v>21</v>
      </c>
      <c r="M32" s="175">
        <f>G32*(1+L32/100)</f>
        <v>-76327.1872</v>
      </c>
      <c r="N32" s="173">
        <v>0</v>
      </c>
      <c r="O32" s="173">
        <f>ROUND(E32*N32,2)</f>
        <v>0</v>
      </c>
      <c r="P32" s="173">
        <v>0</v>
      </c>
      <c r="Q32" s="173">
        <f>ROUND(E32*P32,2)</f>
        <v>0</v>
      </c>
      <c r="R32" s="175"/>
      <c r="S32" s="176" t="s">
        <v>93</v>
      </c>
      <c r="T32" s="159">
        <v>0</v>
      </c>
      <c r="U32" s="159">
        <f>ROUND(E32*T32,2)</f>
        <v>0</v>
      </c>
      <c r="V32" s="159"/>
      <c r="W32" s="159" t="s">
        <v>94</v>
      </c>
      <c r="X32" s="159" t="s">
        <v>95</v>
      </c>
      <c r="Y32" s="149"/>
      <c r="Z32" s="149"/>
      <c r="AA32" s="149"/>
      <c r="AB32" s="149"/>
      <c r="AC32" s="149"/>
      <c r="AD32" s="149"/>
      <c r="AE32" s="149"/>
      <c r="AF32" s="149" t="s">
        <v>96</v>
      </c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</row>
    <row r="33" spans="1:59" outlineLevel="2" x14ac:dyDescent="0.2">
      <c r="A33" s="156"/>
      <c r="B33" s="157"/>
      <c r="C33" s="187" t="s">
        <v>135</v>
      </c>
      <c r="D33" s="160"/>
      <c r="E33" s="161">
        <v>4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49"/>
      <c r="Z33" s="149"/>
      <c r="AA33" s="149"/>
      <c r="AB33" s="149"/>
      <c r="AC33" s="149"/>
      <c r="AD33" s="149"/>
      <c r="AE33" s="149"/>
      <c r="AF33" s="149" t="s">
        <v>98</v>
      </c>
      <c r="AG33" s="149">
        <v>0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</row>
    <row r="34" spans="1:59" ht="22.5" outlineLevel="1" x14ac:dyDescent="0.2">
      <c r="A34" s="170">
        <v>11</v>
      </c>
      <c r="B34" s="171" t="s">
        <v>136</v>
      </c>
      <c r="C34" s="186" t="s">
        <v>137</v>
      </c>
      <c r="D34" s="172" t="s">
        <v>106</v>
      </c>
      <c r="E34" s="173">
        <v>12</v>
      </c>
      <c r="F34" s="174">
        <v>14740</v>
      </c>
      <c r="G34" s="175">
        <f>ROUND(E34*F34,2)</f>
        <v>176880</v>
      </c>
      <c r="H34" s="174">
        <v>0</v>
      </c>
      <c r="I34" s="175">
        <f>ROUND(E34*H34,2)</f>
        <v>0</v>
      </c>
      <c r="J34" s="174">
        <v>14740</v>
      </c>
      <c r="K34" s="175">
        <f>ROUND(E34*J34,2)</f>
        <v>176880</v>
      </c>
      <c r="L34" s="175">
        <v>21</v>
      </c>
      <c r="M34" s="175">
        <f>G34*(1+L34/100)</f>
        <v>214024.8</v>
      </c>
      <c r="N34" s="173">
        <v>0</v>
      </c>
      <c r="O34" s="173">
        <f>ROUND(E34*N34,2)</f>
        <v>0</v>
      </c>
      <c r="P34" s="173">
        <v>0</v>
      </c>
      <c r="Q34" s="173">
        <f>ROUND(E34*P34,2)</f>
        <v>0</v>
      </c>
      <c r="R34" s="175"/>
      <c r="S34" s="176" t="s">
        <v>93</v>
      </c>
      <c r="T34" s="159">
        <v>0</v>
      </c>
      <c r="U34" s="159">
        <f>ROUND(E34*T34,2)</f>
        <v>0</v>
      </c>
      <c r="V34" s="159"/>
      <c r="W34" s="159" t="s">
        <v>94</v>
      </c>
      <c r="X34" s="159" t="s">
        <v>95</v>
      </c>
      <c r="Y34" s="149"/>
      <c r="Z34" s="149"/>
      <c r="AA34" s="149"/>
      <c r="AB34" s="149"/>
      <c r="AC34" s="149"/>
      <c r="AD34" s="149"/>
      <c r="AE34" s="149"/>
      <c r="AF34" s="149" t="s">
        <v>96</v>
      </c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</row>
    <row r="35" spans="1:59" outlineLevel="2" x14ac:dyDescent="0.2">
      <c r="A35" s="156"/>
      <c r="B35" s="157"/>
      <c r="C35" s="187" t="s">
        <v>138</v>
      </c>
      <c r="D35" s="160"/>
      <c r="E35" s="161">
        <v>12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49"/>
      <c r="Z35" s="149"/>
      <c r="AA35" s="149"/>
      <c r="AB35" s="149"/>
      <c r="AC35" s="149"/>
      <c r="AD35" s="149"/>
      <c r="AE35" s="149"/>
      <c r="AF35" s="149" t="s">
        <v>98</v>
      </c>
      <c r="AG35" s="149">
        <v>0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</row>
    <row r="36" spans="1:59" ht="22.5" outlineLevel="1" x14ac:dyDescent="0.2">
      <c r="A36" s="170">
        <v>12</v>
      </c>
      <c r="B36" s="171" t="s">
        <v>139</v>
      </c>
      <c r="C36" s="186" t="s">
        <v>140</v>
      </c>
      <c r="D36" s="172" t="s">
        <v>106</v>
      </c>
      <c r="E36" s="173">
        <v>1802.1375</v>
      </c>
      <c r="F36" s="174">
        <v>3040</v>
      </c>
      <c r="G36" s="175">
        <f>ROUND(E36*F36,2)</f>
        <v>5478498</v>
      </c>
      <c r="H36" s="174">
        <v>0</v>
      </c>
      <c r="I36" s="175">
        <f>ROUND(E36*H36,2)</f>
        <v>0</v>
      </c>
      <c r="J36" s="174">
        <v>3040</v>
      </c>
      <c r="K36" s="175">
        <f>ROUND(E36*J36,2)</f>
        <v>5478498</v>
      </c>
      <c r="L36" s="175">
        <v>21</v>
      </c>
      <c r="M36" s="175">
        <f>G36*(1+L36/100)</f>
        <v>6628982.5800000001</v>
      </c>
      <c r="N36" s="173">
        <v>0</v>
      </c>
      <c r="O36" s="173">
        <f>ROUND(E36*N36,2)</f>
        <v>0</v>
      </c>
      <c r="P36" s="173">
        <v>0</v>
      </c>
      <c r="Q36" s="173">
        <f>ROUND(E36*P36,2)</f>
        <v>0</v>
      </c>
      <c r="R36" s="175"/>
      <c r="S36" s="176" t="s">
        <v>93</v>
      </c>
      <c r="T36" s="159">
        <v>0</v>
      </c>
      <c r="U36" s="159">
        <f>ROUND(E36*T36,2)</f>
        <v>0</v>
      </c>
      <c r="V36" s="159"/>
      <c r="W36" s="159" t="s">
        <v>94</v>
      </c>
      <c r="X36" s="159" t="s">
        <v>95</v>
      </c>
      <c r="Y36" s="149"/>
      <c r="Z36" s="149"/>
      <c r="AA36" s="149"/>
      <c r="AB36" s="149"/>
      <c r="AC36" s="149"/>
      <c r="AD36" s="149"/>
      <c r="AE36" s="149"/>
      <c r="AF36" s="149" t="s">
        <v>96</v>
      </c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</row>
    <row r="37" spans="1:59" outlineLevel="2" x14ac:dyDescent="0.2">
      <c r="A37" s="156"/>
      <c r="B37" s="157"/>
      <c r="C37" s="187" t="s">
        <v>141</v>
      </c>
      <c r="D37" s="160"/>
      <c r="E37" s="161">
        <v>190.125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49"/>
      <c r="Z37" s="149"/>
      <c r="AA37" s="149"/>
      <c r="AB37" s="149"/>
      <c r="AC37" s="149"/>
      <c r="AD37" s="149"/>
      <c r="AE37" s="149"/>
      <c r="AF37" s="149" t="s">
        <v>98</v>
      </c>
      <c r="AG37" s="149">
        <v>0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</row>
    <row r="38" spans="1:59" outlineLevel="3" x14ac:dyDescent="0.2">
      <c r="A38" s="156"/>
      <c r="B38" s="157"/>
      <c r="C38" s="187" t="s">
        <v>142</v>
      </c>
      <c r="D38" s="160"/>
      <c r="E38" s="161">
        <v>1612.0125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49"/>
      <c r="Z38" s="149"/>
      <c r="AA38" s="149"/>
      <c r="AB38" s="149"/>
      <c r="AC38" s="149"/>
      <c r="AD38" s="149"/>
      <c r="AE38" s="149"/>
      <c r="AF38" s="149" t="s">
        <v>98</v>
      </c>
      <c r="AG38" s="149">
        <v>0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</row>
    <row r="39" spans="1:59" x14ac:dyDescent="0.2">
      <c r="A39" s="163" t="s">
        <v>88</v>
      </c>
      <c r="B39" s="164" t="s">
        <v>61</v>
      </c>
      <c r="C39" s="185" t="s">
        <v>29</v>
      </c>
      <c r="D39" s="165"/>
      <c r="E39" s="166"/>
      <c r="F39" s="167"/>
      <c r="G39" s="167">
        <f>SUMIF(AF40:AF41,"&lt;&gt;NOR",G40:G41)</f>
        <v>349189.31</v>
      </c>
      <c r="H39" s="167"/>
      <c r="I39" s="167">
        <f>SUM(I40:I41)</f>
        <v>0</v>
      </c>
      <c r="J39" s="167"/>
      <c r="K39" s="167">
        <f>SUM(K40:K41)</f>
        <v>349189.31</v>
      </c>
      <c r="L39" s="167"/>
      <c r="M39" s="167">
        <f>SUM(M40:M41)</f>
        <v>422519.06510000001</v>
      </c>
      <c r="N39" s="166"/>
      <c r="O39" s="166">
        <f>SUM(O40:O41)</f>
        <v>0</v>
      </c>
      <c r="P39" s="166"/>
      <c r="Q39" s="166">
        <f>SUM(Q40:Q41)</f>
        <v>0</v>
      </c>
      <c r="R39" s="167"/>
      <c r="S39" s="168"/>
      <c r="T39" s="162"/>
      <c r="U39" s="162">
        <f>SUM(U40:U41)</f>
        <v>0</v>
      </c>
      <c r="V39" s="162"/>
      <c r="W39" s="162"/>
      <c r="X39" s="162"/>
      <c r="AF39" t="s">
        <v>89</v>
      </c>
    </row>
    <row r="40" spans="1:59" outlineLevel="1" x14ac:dyDescent="0.2">
      <c r="A40" s="177">
        <v>13</v>
      </c>
      <c r="B40" s="178" t="s">
        <v>143</v>
      </c>
      <c r="C40" s="188" t="s">
        <v>144</v>
      </c>
      <c r="D40" s="179" t="s">
        <v>145</v>
      </c>
      <c r="E40" s="180">
        <v>1</v>
      </c>
      <c r="F40" s="181">
        <v>155195.25</v>
      </c>
      <c r="G40" s="182">
        <f>ROUND(E40*F40,2)</f>
        <v>155195.25</v>
      </c>
      <c r="H40" s="181">
        <v>0</v>
      </c>
      <c r="I40" s="182">
        <f>ROUND(E40*H40,2)</f>
        <v>0</v>
      </c>
      <c r="J40" s="181">
        <v>155195.25</v>
      </c>
      <c r="K40" s="182">
        <f>ROUND(E40*J40,2)</f>
        <v>155195.25</v>
      </c>
      <c r="L40" s="182">
        <v>21</v>
      </c>
      <c r="M40" s="182">
        <f>G40*(1+L40/100)</f>
        <v>187786.2525</v>
      </c>
      <c r="N40" s="180">
        <v>0</v>
      </c>
      <c r="O40" s="180">
        <f>ROUND(E40*N40,2)</f>
        <v>0</v>
      </c>
      <c r="P40" s="180">
        <v>0</v>
      </c>
      <c r="Q40" s="180">
        <f>ROUND(E40*P40,2)</f>
        <v>0</v>
      </c>
      <c r="R40" s="182"/>
      <c r="S40" s="183" t="s">
        <v>146</v>
      </c>
      <c r="T40" s="159">
        <v>0</v>
      </c>
      <c r="U40" s="159">
        <f>ROUND(E40*T40,2)</f>
        <v>0</v>
      </c>
      <c r="V40" s="159"/>
      <c r="W40" s="159" t="s">
        <v>147</v>
      </c>
      <c r="X40" s="159" t="s">
        <v>95</v>
      </c>
      <c r="Y40" s="149"/>
      <c r="Z40" s="149"/>
      <c r="AA40" s="149"/>
      <c r="AB40" s="149"/>
      <c r="AC40" s="149"/>
      <c r="AD40" s="149"/>
      <c r="AE40" s="149"/>
      <c r="AF40" s="149" t="s">
        <v>148</v>
      </c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</row>
    <row r="41" spans="1:59" outlineLevel="1" x14ac:dyDescent="0.2">
      <c r="A41" s="177">
        <v>14</v>
      </c>
      <c r="B41" s="178" t="s">
        <v>149</v>
      </c>
      <c r="C41" s="188" t="s">
        <v>150</v>
      </c>
      <c r="D41" s="179" t="s">
        <v>145</v>
      </c>
      <c r="E41" s="180">
        <v>1</v>
      </c>
      <c r="F41" s="181">
        <v>193994.06</v>
      </c>
      <c r="G41" s="182">
        <f>ROUND(E41*F41,2)</f>
        <v>193994.06</v>
      </c>
      <c r="H41" s="181">
        <v>0</v>
      </c>
      <c r="I41" s="182">
        <f>ROUND(E41*H41,2)</f>
        <v>0</v>
      </c>
      <c r="J41" s="181">
        <v>193994.06</v>
      </c>
      <c r="K41" s="182">
        <f>ROUND(E41*J41,2)</f>
        <v>193994.06</v>
      </c>
      <c r="L41" s="182">
        <v>21</v>
      </c>
      <c r="M41" s="182">
        <f>G41*(1+L41/100)</f>
        <v>234732.8126</v>
      </c>
      <c r="N41" s="180">
        <v>0</v>
      </c>
      <c r="O41" s="180">
        <f>ROUND(E41*N41,2)</f>
        <v>0</v>
      </c>
      <c r="P41" s="180">
        <v>0</v>
      </c>
      <c r="Q41" s="180">
        <f>ROUND(E41*P41,2)</f>
        <v>0</v>
      </c>
      <c r="R41" s="182"/>
      <c r="S41" s="183" t="s">
        <v>146</v>
      </c>
      <c r="T41" s="159">
        <v>0</v>
      </c>
      <c r="U41" s="159">
        <f>ROUND(E41*T41,2)</f>
        <v>0</v>
      </c>
      <c r="V41" s="159"/>
      <c r="W41" s="159" t="s">
        <v>147</v>
      </c>
      <c r="X41" s="159" t="s">
        <v>95</v>
      </c>
      <c r="Y41" s="149"/>
      <c r="Z41" s="149"/>
      <c r="AA41" s="149"/>
      <c r="AB41" s="149"/>
      <c r="AC41" s="149"/>
      <c r="AD41" s="149"/>
      <c r="AE41" s="149"/>
      <c r="AF41" s="149" t="s">
        <v>148</v>
      </c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</row>
    <row r="42" spans="1:59" x14ac:dyDescent="0.2">
      <c r="A42" s="163" t="s">
        <v>88</v>
      </c>
      <c r="B42" s="164" t="s">
        <v>62</v>
      </c>
      <c r="C42" s="185" t="s">
        <v>30</v>
      </c>
      <c r="D42" s="165"/>
      <c r="E42" s="166"/>
      <c r="F42" s="167"/>
      <c r="G42" s="167">
        <f>SUMIF(AF43:AF44,"&lt;&gt;NOR",G43:G44)</f>
        <v>48498.520000000004</v>
      </c>
      <c r="H42" s="167"/>
      <c r="I42" s="167">
        <f>SUM(I43:I44)</f>
        <v>0</v>
      </c>
      <c r="J42" s="167"/>
      <c r="K42" s="167">
        <f>SUM(K43:K44)</f>
        <v>48498.520000000004</v>
      </c>
      <c r="L42" s="167"/>
      <c r="M42" s="167">
        <f>SUM(M43:M44)</f>
        <v>58683.209199999998</v>
      </c>
      <c r="N42" s="166"/>
      <c r="O42" s="166">
        <f>SUM(O43:O44)</f>
        <v>0</v>
      </c>
      <c r="P42" s="166"/>
      <c r="Q42" s="166">
        <f>SUM(Q43:Q44)</f>
        <v>0</v>
      </c>
      <c r="R42" s="167"/>
      <c r="S42" s="168"/>
      <c r="T42" s="162"/>
      <c r="U42" s="162">
        <f>SUM(U43:U44)</f>
        <v>0</v>
      </c>
      <c r="V42" s="162"/>
      <c r="W42" s="162"/>
      <c r="X42" s="162"/>
      <c r="AF42" t="s">
        <v>89</v>
      </c>
    </row>
    <row r="43" spans="1:59" outlineLevel="1" x14ac:dyDescent="0.2">
      <c r="A43" s="177">
        <v>15</v>
      </c>
      <c r="B43" s="178" t="s">
        <v>151</v>
      </c>
      <c r="C43" s="188" t="s">
        <v>152</v>
      </c>
      <c r="D43" s="179" t="s">
        <v>145</v>
      </c>
      <c r="E43" s="180">
        <v>1</v>
      </c>
      <c r="F43" s="181">
        <v>19399.41</v>
      </c>
      <c r="G43" s="182">
        <f>ROUND(E43*F43,2)</f>
        <v>19399.41</v>
      </c>
      <c r="H43" s="181">
        <v>0</v>
      </c>
      <c r="I43" s="182">
        <f>ROUND(E43*H43,2)</f>
        <v>0</v>
      </c>
      <c r="J43" s="181">
        <v>19399.41</v>
      </c>
      <c r="K43" s="182">
        <f>ROUND(E43*J43,2)</f>
        <v>19399.41</v>
      </c>
      <c r="L43" s="182">
        <v>21</v>
      </c>
      <c r="M43" s="182">
        <f>G43*(1+L43/100)</f>
        <v>23473.286099999998</v>
      </c>
      <c r="N43" s="180">
        <v>0</v>
      </c>
      <c r="O43" s="180">
        <f>ROUND(E43*N43,2)</f>
        <v>0</v>
      </c>
      <c r="P43" s="180">
        <v>0</v>
      </c>
      <c r="Q43" s="180">
        <f>ROUND(E43*P43,2)</f>
        <v>0</v>
      </c>
      <c r="R43" s="182"/>
      <c r="S43" s="183" t="s">
        <v>146</v>
      </c>
      <c r="T43" s="159">
        <v>0</v>
      </c>
      <c r="U43" s="159">
        <f>ROUND(E43*T43,2)</f>
        <v>0</v>
      </c>
      <c r="V43" s="159"/>
      <c r="W43" s="159" t="s">
        <v>147</v>
      </c>
      <c r="X43" s="159" t="s">
        <v>95</v>
      </c>
      <c r="Y43" s="149"/>
      <c r="Z43" s="149"/>
      <c r="AA43" s="149"/>
      <c r="AB43" s="149"/>
      <c r="AC43" s="149"/>
      <c r="AD43" s="149"/>
      <c r="AE43" s="149"/>
      <c r="AF43" s="149" t="s">
        <v>148</v>
      </c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</row>
    <row r="44" spans="1:59" outlineLevel="1" x14ac:dyDescent="0.2">
      <c r="A44" s="170">
        <v>16</v>
      </c>
      <c r="B44" s="171" t="s">
        <v>153</v>
      </c>
      <c r="C44" s="186" t="s">
        <v>154</v>
      </c>
      <c r="D44" s="172" t="s">
        <v>145</v>
      </c>
      <c r="E44" s="173">
        <v>1</v>
      </c>
      <c r="F44" s="174">
        <v>29099.11</v>
      </c>
      <c r="G44" s="175">
        <f>ROUND(E44*F44,2)</f>
        <v>29099.11</v>
      </c>
      <c r="H44" s="174">
        <v>0</v>
      </c>
      <c r="I44" s="175">
        <f>ROUND(E44*H44,2)</f>
        <v>0</v>
      </c>
      <c r="J44" s="174">
        <v>29099.11</v>
      </c>
      <c r="K44" s="175">
        <f>ROUND(E44*J44,2)</f>
        <v>29099.11</v>
      </c>
      <c r="L44" s="175">
        <v>21</v>
      </c>
      <c r="M44" s="175">
        <f>G44*(1+L44/100)</f>
        <v>35209.9231</v>
      </c>
      <c r="N44" s="173">
        <v>0</v>
      </c>
      <c r="O44" s="173">
        <f>ROUND(E44*N44,2)</f>
        <v>0</v>
      </c>
      <c r="P44" s="173">
        <v>0</v>
      </c>
      <c r="Q44" s="173">
        <f>ROUND(E44*P44,2)</f>
        <v>0</v>
      </c>
      <c r="R44" s="175"/>
      <c r="S44" s="176" t="s">
        <v>146</v>
      </c>
      <c r="T44" s="159">
        <v>0</v>
      </c>
      <c r="U44" s="159">
        <f>ROUND(E44*T44,2)</f>
        <v>0</v>
      </c>
      <c r="V44" s="159"/>
      <c r="W44" s="159" t="s">
        <v>147</v>
      </c>
      <c r="X44" s="159" t="s">
        <v>95</v>
      </c>
      <c r="Y44" s="149"/>
      <c r="Z44" s="149"/>
      <c r="AA44" s="149"/>
      <c r="AB44" s="149"/>
      <c r="AC44" s="149"/>
      <c r="AD44" s="149"/>
      <c r="AE44" s="149"/>
      <c r="AF44" s="149" t="s">
        <v>148</v>
      </c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</row>
    <row r="45" spans="1:59" x14ac:dyDescent="0.2">
      <c r="A45" s="3"/>
      <c r="B45" s="4"/>
      <c r="C45" s="189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AD45">
        <v>12</v>
      </c>
      <c r="AE45">
        <v>21</v>
      </c>
      <c r="AF45" t="s">
        <v>75</v>
      </c>
    </row>
    <row r="46" spans="1:59" x14ac:dyDescent="0.2">
      <c r="A46" s="152"/>
      <c r="B46" s="153" t="s">
        <v>157</v>
      </c>
      <c r="C46" s="190"/>
      <c r="D46" s="154"/>
      <c r="E46" s="155"/>
      <c r="F46" s="155"/>
      <c r="G46" s="169">
        <f>G8+G16+G25+G27+G39+G42</f>
        <v>10097390.810000001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AD46">
        <f>SUMIF(L7:L44,AD45,G7:G44)</f>
        <v>0</v>
      </c>
      <c r="AE46">
        <f>SUMIF(L7:L44,AE45,G7:G44)</f>
        <v>10097390.810000001</v>
      </c>
      <c r="AF46" t="s">
        <v>155</v>
      </c>
    </row>
    <row r="47" spans="1:59" x14ac:dyDescent="0.2">
      <c r="A47" s="3"/>
      <c r="B47" s="4"/>
      <c r="C47" s="189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59" x14ac:dyDescent="0.2">
      <c r="A48" s="3"/>
      <c r="B48" s="4"/>
      <c r="C48" s="189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32" x14ac:dyDescent="0.2">
      <c r="A49" s="3"/>
      <c r="B49" s="4"/>
      <c r="C49" s="189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32" x14ac:dyDescent="0.2">
      <c r="C50" s="191"/>
      <c r="D50" s="10"/>
      <c r="AF50" t="s">
        <v>156</v>
      </c>
    </row>
    <row r="51" spans="1:32" x14ac:dyDescent="0.2">
      <c r="D51" s="10"/>
    </row>
    <row r="52" spans="1:32" x14ac:dyDescent="0.2">
      <c r="D52" s="10"/>
    </row>
    <row r="53" spans="1:32" x14ac:dyDescent="0.2">
      <c r="D53" s="10"/>
    </row>
    <row r="54" spans="1:32" x14ac:dyDescent="0.2">
      <c r="D54" s="10"/>
    </row>
    <row r="55" spans="1:32" x14ac:dyDescent="0.2">
      <c r="D55" s="10"/>
    </row>
    <row r="56" spans="1:32" x14ac:dyDescent="0.2">
      <c r="D56" s="10"/>
    </row>
    <row r="57" spans="1:32" x14ac:dyDescent="0.2">
      <c r="D57" s="10"/>
    </row>
    <row r="58" spans="1:32" x14ac:dyDescent="0.2">
      <c r="D58" s="10"/>
    </row>
    <row r="59" spans="1:32" x14ac:dyDescent="0.2">
      <c r="D59" s="10"/>
    </row>
    <row r="60" spans="1:32" x14ac:dyDescent="0.2">
      <c r="D60" s="10"/>
    </row>
    <row r="61" spans="1:32" x14ac:dyDescent="0.2">
      <c r="D61" s="10"/>
    </row>
    <row r="62" spans="1:32" x14ac:dyDescent="0.2">
      <c r="D62" s="10"/>
    </row>
    <row r="63" spans="1:32" x14ac:dyDescent="0.2">
      <c r="D63" s="10"/>
    </row>
    <row r="64" spans="1:32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</sheetData>
  <mergeCells count="8">
    <mergeCell ref="C23:G23"/>
    <mergeCell ref="A1:G1"/>
    <mergeCell ref="C2:G2"/>
    <mergeCell ref="C3:G3"/>
    <mergeCell ref="C4:G4"/>
    <mergeCell ref="C18:G18"/>
    <mergeCell ref="C19:G19"/>
    <mergeCell ref="C22:G22"/>
  </mergeCells>
  <pageMargins left="0.59055118110236204" right="0.196850393700787" top="0.78740157499999996" bottom="0.78740157499999996" header="0.3" footer="0.3"/>
  <pageSetup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Shrbený</dc:creator>
  <cp:lastModifiedBy>x</cp:lastModifiedBy>
  <cp:lastPrinted>2019-03-19T12:27:02Z</cp:lastPrinted>
  <dcterms:created xsi:type="dcterms:W3CDTF">2009-04-08T07:15:50Z</dcterms:created>
  <dcterms:modified xsi:type="dcterms:W3CDTF">2026-02-23T13:28:12Z</dcterms:modified>
</cp:coreProperties>
</file>